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nvironmentnswgov.sharepoint.com/sites/MST_DPE_EnergyandResourcesPolicy/Shared Documents/09. Energy - Other/Energy Policy Framework 2023/Exhibition Drafts/"/>
    </mc:Choice>
  </mc:AlternateContent>
  <xr:revisionPtr revIDLastSave="5" documentId="8_{9FCC22C6-9EBE-4790-8953-53F98F81270F}" xr6:coauthVersionLast="47" xr6:coauthVersionMax="47" xr10:uidLastSave="{D3E86D08-CD62-4235-997C-06F8E4B9CF17}"/>
  <workbookProtection workbookAlgorithmName="SHA-512" workbookHashValue="O4Xdh1bRIWL6EW+IMgnnzbnDnfg8l9flqgNGIWggX65qbDErR2SE5HR6xw+AiX/LrWiedlcJo6Y1zi2SJB6w/Q==" workbookSaltValue="SEJMPHgEZY6EjMxTgJzNZA==" workbookSpinCount="100000" lockStructure="1"/>
  <bookViews>
    <workbookView xWindow="8700" yWindow="1680" windowWidth="21600" windowHeight="16530" xr2:uid="{A4534FBA-0F2E-4903-81F9-C22FB3494B78}"/>
  </bookViews>
  <sheets>
    <sheet name="HOW TO USE" sheetId="4" r:id="rId1"/>
    <sheet name="CALCULATOR" sheetId="3" r:id="rId2"/>
    <sheet name="ASSUMPTIONS 1" sheetId="1" r:id="rId3"/>
    <sheet name="ASSUMPTIONS 2"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3" l="1"/>
  <c r="E7" i="1" s="1"/>
  <c r="J6" i="3"/>
  <c r="E15" i="1" s="1"/>
  <c r="J7" i="3"/>
  <c r="J8" i="3"/>
  <c r="J9" i="3"/>
  <c r="J10" i="3"/>
  <c r="J11" i="3"/>
  <c r="J12" i="3"/>
  <c r="J13" i="3"/>
  <c r="J14" i="3"/>
  <c r="J4" i="3"/>
  <c r="E21" i="1" s="1"/>
  <c r="E28" i="1"/>
  <c r="E11" i="1" l="1"/>
  <c r="E14" i="1" s="1"/>
  <c r="E22" i="1"/>
  <c r="E16" i="1"/>
  <c r="E17" i="1" s="1"/>
  <c r="E20" i="1" s="1"/>
  <c r="E34" i="1"/>
  <c r="E33" i="1"/>
  <c r="E27" i="1"/>
  <c r="E26" i="1"/>
  <c r="E25" i="1"/>
  <c r="H68" i="1"/>
  <c r="H62" i="1"/>
  <c r="H63" i="1"/>
  <c r="H64" i="1"/>
  <c r="H65" i="1"/>
  <c r="H66" i="1"/>
  <c r="H67" i="1"/>
  <c r="H61" i="1"/>
  <c r="F63" i="1"/>
  <c r="F61" i="1"/>
  <c r="F62" i="1"/>
  <c r="I38" i="1"/>
  <c r="D47" i="2"/>
  <c r="D34" i="2"/>
  <c r="D51" i="2"/>
  <c r="D38" i="2"/>
  <c r="G27" i="1"/>
  <c r="O16" i="1"/>
  <c r="I37" i="1" l="1"/>
  <c r="F34" i="1"/>
  <c r="F33" i="1"/>
  <c r="I33" i="1"/>
  <c r="M6" i="1"/>
  <c r="M7" i="1"/>
  <c r="M8" i="1"/>
  <c r="M11" i="1"/>
  <c r="M15" i="1"/>
  <c r="M16" i="1"/>
  <c r="M17" i="1"/>
  <c r="M21" i="1"/>
  <c r="M22" i="1"/>
  <c r="M24" i="1"/>
  <c r="M25" i="1"/>
  <c r="M27" i="1"/>
  <c r="M5" i="1"/>
  <c r="L40" i="2"/>
  <c r="L89" i="2"/>
  <c r="L22" i="2"/>
  <c r="F29" i="1"/>
  <c r="H28" i="1"/>
  <c r="H27" i="1"/>
  <c r="M37" i="1" l="1"/>
  <c r="I34" i="1" s="1"/>
  <c r="E29" i="1"/>
  <c r="E30" i="1"/>
  <c r="I30" i="1" s="1"/>
  <c r="E61" i="1" l="1"/>
  <c r="E68" i="1"/>
  <c r="I68" i="1" s="1"/>
  <c r="E67" i="1"/>
  <c r="E66" i="1"/>
  <c r="I66" i="1" s="1"/>
  <c r="E63" i="1"/>
  <c r="I63" i="1" s="1"/>
  <c r="E62" i="1"/>
  <c r="I67" i="1"/>
  <c r="F18" i="1"/>
  <c r="M99" i="2"/>
  <c r="L99" i="2"/>
  <c r="M98" i="2"/>
  <c r="L98" i="2"/>
  <c r="L96" i="2"/>
  <c r="M97" i="2"/>
  <c r="N97" i="2" s="1"/>
  <c r="L97" i="2"/>
  <c r="M96" i="2"/>
  <c r="M95" i="2"/>
  <c r="L95" i="2"/>
  <c r="M94" i="2"/>
  <c r="L94" i="2"/>
  <c r="M91" i="2"/>
  <c r="L91" i="2"/>
  <c r="M90" i="2"/>
  <c r="L90" i="2"/>
  <c r="M89" i="2"/>
  <c r="M88" i="2"/>
  <c r="L88" i="2"/>
  <c r="M87" i="2"/>
  <c r="L87" i="2"/>
  <c r="M86" i="2"/>
  <c r="L86" i="2"/>
  <c r="G15" i="1"/>
  <c r="M83" i="2"/>
  <c r="L83" i="2"/>
  <c r="M82" i="2"/>
  <c r="L82" i="2"/>
  <c r="M81" i="2"/>
  <c r="L81" i="2"/>
  <c r="M80" i="2"/>
  <c r="L80" i="2"/>
  <c r="M79" i="2"/>
  <c r="L79" i="2"/>
  <c r="L74" i="2"/>
  <c r="M76" i="2"/>
  <c r="L76" i="2"/>
  <c r="M75" i="2"/>
  <c r="L75" i="2"/>
  <c r="M74" i="2"/>
  <c r="D44" i="1"/>
  <c r="I44" i="1" s="1"/>
  <c r="I46" i="1"/>
  <c r="E47" i="1"/>
  <c r="I47" i="1" s="1"/>
  <c r="E31" i="1"/>
  <c r="E32" i="1" s="1"/>
  <c r="F20" i="1"/>
  <c r="H46" i="2"/>
  <c r="H45" i="2"/>
  <c r="G46" i="2"/>
  <c r="G45" i="2"/>
  <c r="M44" i="2"/>
  <c r="E9" i="1"/>
  <c r="H9" i="1" s="1"/>
  <c r="E5" i="1"/>
  <c r="E8" i="1"/>
  <c r="E14" i="3"/>
  <c r="E6" i="1" s="1"/>
  <c r="E64" i="1" s="1"/>
  <c r="E36" i="1" l="1"/>
  <c r="I36" i="1" s="1"/>
  <c r="E35" i="1"/>
  <c r="I35" i="1" s="1"/>
  <c r="I64" i="1"/>
  <c r="E19" i="1"/>
  <c r="H15" i="1"/>
  <c r="I61" i="1"/>
  <c r="I62" i="1"/>
  <c r="H6" i="1"/>
  <c r="H21" i="1"/>
  <c r="N99" i="2"/>
  <c r="N96" i="2"/>
  <c r="N98" i="2"/>
  <c r="N91" i="2"/>
  <c r="E18" i="1"/>
  <c r="H18" i="1" s="1"/>
  <c r="N86" i="2"/>
  <c r="N95" i="2"/>
  <c r="N94" i="2"/>
  <c r="N88" i="2"/>
  <c r="N87" i="2"/>
  <c r="N80" i="2"/>
  <c r="N89" i="2"/>
  <c r="N81" i="2"/>
  <c r="N90" i="2"/>
  <c r="N74" i="2"/>
  <c r="N79" i="2"/>
  <c r="N76" i="2"/>
  <c r="N82" i="2"/>
  <c r="N83" i="2"/>
  <c r="N75" i="2"/>
  <c r="E13" i="1"/>
  <c r="E65" i="1" s="1"/>
  <c r="L44" i="2"/>
  <c r="N44" i="2" s="1"/>
  <c r="I32" i="1"/>
  <c r="M71" i="2"/>
  <c r="M70" i="2"/>
  <c r="M69" i="2"/>
  <c r="M68" i="2"/>
  <c r="L69" i="2"/>
  <c r="L71" i="2"/>
  <c r="L70" i="2"/>
  <c r="L68" i="2"/>
  <c r="H31" i="1"/>
  <c r="L63" i="2"/>
  <c r="L62" i="2"/>
  <c r="M65" i="2"/>
  <c r="M64" i="2"/>
  <c r="L65" i="2"/>
  <c r="L64" i="2"/>
  <c r="M63" i="2"/>
  <c r="M62" i="2"/>
  <c r="I26" i="1"/>
  <c r="G25" i="1"/>
  <c r="G12" i="1"/>
  <c r="H24" i="1"/>
  <c r="M59" i="2"/>
  <c r="L59" i="2"/>
  <c r="M58" i="2"/>
  <c r="L58" i="2"/>
  <c r="M57" i="2"/>
  <c r="H16" i="1"/>
  <c r="H11" i="1"/>
  <c r="M54" i="2"/>
  <c r="L54" i="2"/>
  <c r="D39" i="2"/>
  <c r="D42" i="2" s="1"/>
  <c r="M53" i="2"/>
  <c r="M52" i="2"/>
  <c r="L53" i="2"/>
  <c r="H5" i="1"/>
  <c r="E10" i="1"/>
  <c r="I10" i="1" s="1"/>
  <c r="H7" i="1"/>
  <c r="M9" i="2"/>
  <c r="L9" i="2"/>
  <c r="L8" i="2"/>
  <c r="L10" i="2"/>
  <c r="L49" i="2"/>
  <c r="L48" i="2"/>
  <c r="M47" i="2"/>
  <c r="M49" i="2"/>
  <c r="N49" i="2" s="1"/>
  <c r="M48" i="2"/>
  <c r="M46" i="2"/>
  <c r="M45" i="2"/>
  <c r="L47" i="2"/>
  <c r="L46" i="2"/>
  <c r="M41" i="2"/>
  <c r="M17" i="2"/>
  <c r="M10" i="2"/>
  <c r="M40" i="2"/>
  <c r="M39" i="2"/>
  <c r="M38" i="2"/>
  <c r="M37" i="2"/>
  <c r="M36" i="2"/>
  <c r="L39" i="2"/>
  <c r="L41" i="2"/>
  <c r="L38" i="2"/>
  <c r="L37" i="2"/>
  <c r="L36" i="2"/>
  <c r="L29" i="2"/>
  <c r="M33" i="2"/>
  <c r="M32" i="2"/>
  <c r="M31" i="2"/>
  <c r="M30" i="2"/>
  <c r="M29" i="2"/>
  <c r="M28" i="2"/>
  <c r="L33" i="2"/>
  <c r="L32" i="2"/>
  <c r="L31" i="2"/>
  <c r="L30" i="2"/>
  <c r="L28" i="2"/>
  <c r="M22" i="2"/>
  <c r="L21" i="2"/>
  <c r="M24" i="2"/>
  <c r="M23" i="2"/>
  <c r="M21" i="2"/>
  <c r="M20" i="2"/>
  <c r="L24" i="2"/>
  <c r="L23" i="2"/>
  <c r="L20" i="2"/>
  <c r="L15" i="2"/>
  <c r="L17" i="2"/>
  <c r="M16" i="2"/>
  <c r="L16" i="2"/>
  <c r="M15" i="2"/>
  <c r="M14" i="2"/>
  <c r="M13" i="2"/>
  <c r="L14" i="2"/>
  <c r="L13" i="2"/>
  <c r="M8" i="2"/>
  <c r="L7" i="2"/>
  <c r="M7" i="2"/>
  <c r="M4" i="2"/>
  <c r="L4" i="2"/>
  <c r="I13" i="1" l="1"/>
  <c r="I65" i="1"/>
  <c r="I70" i="1" s="1"/>
  <c r="E44" i="3" s="1"/>
  <c r="E23" i="1"/>
  <c r="I23" i="1" s="1"/>
  <c r="N100" i="2"/>
  <c r="I19" i="1"/>
  <c r="I20" i="1"/>
  <c r="H17" i="1"/>
  <c r="N92" i="2"/>
  <c r="F17" i="1" s="1"/>
  <c r="N71" i="2"/>
  <c r="N21" i="2"/>
  <c r="N84" i="2"/>
  <c r="N62" i="2"/>
  <c r="N63" i="2"/>
  <c r="N64" i="2"/>
  <c r="N65" i="2"/>
  <c r="H25" i="1"/>
  <c r="N68" i="2"/>
  <c r="N70" i="2"/>
  <c r="N77" i="2"/>
  <c r="F7" i="1" s="1"/>
  <c r="N69" i="2"/>
  <c r="L45" i="2"/>
  <c r="N45" i="2" s="1"/>
  <c r="N9" i="2"/>
  <c r="N59" i="2"/>
  <c r="E12" i="1"/>
  <c r="H12" i="1" s="1"/>
  <c r="I18" i="1"/>
  <c r="N58" i="2"/>
  <c r="H8" i="1"/>
  <c r="D45" i="1" s="1"/>
  <c r="N54" i="2"/>
  <c r="N53" i="2"/>
  <c r="D43" i="2"/>
  <c r="L52" i="2" s="1"/>
  <c r="N52" i="2" s="1"/>
  <c r="N48" i="2"/>
  <c r="N40" i="2"/>
  <c r="N46" i="2"/>
  <c r="N47" i="2"/>
  <c r="N17" i="2"/>
  <c r="N38" i="2"/>
  <c r="N39" i="2"/>
  <c r="N15" i="2"/>
  <c r="N37" i="2"/>
  <c r="N41" i="2"/>
  <c r="N36" i="2"/>
  <c r="N29" i="2"/>
  <c r="N28" i="2"/>
  <c r="N30" i="2"/>
  <c r="N31" i="2"/>
  <c r="N32" i="2"/>
  <c r="N33" i="2"/>
  <c r="N13" i="2"/>
  <c r="N14" i="2"/>
  <c r="N4" i="2"/>
  <c r="N5" i="2" s="1"/>
  <c r="N20" i="2"/>
  <c r="N22" i="2"/>
  <c r="N23" i="2"/>
  <c r="N10" i="2"/>
  <c r="N24" i="2"/>
  <c r="N16" i="2"/>
  <c r="N8" i="2"/>
  <c r="N7" i="2"/>
  <c r="F5" i="1" l="1"/>
  <c r="I5" i="1" s="1"/>
  <c r="D52" i="2"/>
  <c r="D55" i="2" s="1"/>
  <c r="F28" i="1"/>
  <c r="I28" i="1" s="1"/>
  <c r="F27" i="1"/>
  <c r="I27" i="1" s="1"/>
  <c r="F15" i="1"/>
  <c r="I15" i="1" s="1"/>
  <c r="I17" i="1"/>
  <c r="N66" i="2"/>
  <c r="D48" i="1"/>
  <c r="I48" i="1" s="1"/>
  <c r="I45" i="1"/>
  <c r="N72" i="2"/>
  <c r="N55" i="2"/>
  <c r="H22" i="1"/>
  <c r="N50" i="2"/>
  <c r="N42" i="2"/>
  <c r="N11" i="2"/>
  <c r="F6" i="1" s="1"/>
  <c r="N34" i="2"/>
  <c r="N18" i="2"/>
  <c r="N26" i="2"/>
  <c r="F16" i="1" s="1"/>
  <c r="G29" i="1" l="1"/>
  <c r="H29" i="1" s="1"/>
  <c r="I29" i="1" s="1"/>
  <c r="D56" i="2"/>
  <c r="L57" i="2" s="1"/>
  <c r="N57" i="2" s="1"/>
  <c r="N60" i="2" s="1"/>
  <c r="F31" i="1"/>
  <c r="I31" i="1" s="1"/>
  <c r="F11" i="1"/>
  <c r="I11" i="1" s="1"/>
  <c r="F21" i="1"/>
  <c r="I21" i="1" s="1"/>
  <c r="F24" i="1"/>
  <c r="I24" i="1" s="1"/>
  <c r="F8" i="1"/>
  <c r="I8" i="1" s="1"/>
  <c r="F9" i="1"/>
  <c r="I9" i="1" s="1"/>
  <c r="F12" i="1"/>
  <c r="I12" i="1" s="1"/>
  <c r="F25" i="1"/>
  <c r="I25" i="1" s="1"/>
  <c r="I16" i="1"/>
  <c r="I7" i="1"/>
  <c r="I6" i="1"/>
  <c r="F22" i="1" l="1"/>
  <c r="I22" i="1" s="1"/>
  <c r="I39" i="1" s="1"/>
  <c r="E49" i="1" l="1"/>
  <c r="I49" i="1" s="1"/>
  <c r="I50" i="1" s="1"/>
  <c r="I52" i="1" s="1"/>
  <c r="I53" i="1" s="1"/>
  <c r="I54" i="1" l="1"/>
  <c r="I55" i="1" l="1"/>
  <c r="I56" i="1" s="1"/>
  <c r="I58" i="1" l="1"/>
  <c r="I73" i="1"/>
  <c r="I74" i="1" s="1"/>
  <c r="E43" i="3"/>
  <c r="E46" i="3" s="1"/>
  <c r="E48" i="3" l="1"/>
  <c r="E45" i="3"/>
  <c r="E47" i="3" s="1"/>
  <c r="E49" i="3" l="1"/>
</calcChain>
</file>

<file path=xl/sharedStrings.xml><?xml version="1.0" encoding="utf-8"?>
<sst xmlns="http://schemas.openxmlformats.org/spreadsheetml/2006/main" count="719" uniqueCount="319">
  <si>
    <t>WIND TURBINE DECOMMISSION INPUTS</t>
  </si>
  <si>
    <t>WIND TURBINE TRIGER</t>
  </si>
  <si>
    <t>SECTION</t>
  </si>
  <si>
    <t>DESCRIPTION</t>
  </si>
  <si>
    <t>UNIT</t>
  </si>
  <si>
    <t>QUANTITY</t>
  </si>
  <si>
    <t>COMMENT</t>
  </si>
  <si>
    <t>TRIGGER</t>
  </si>
  <si>
    <t>Overall Project Size</t>
  </si>
  <si>
    <t>MW</t>
  </si>
  <si>
    <t>Insert Total Mega Watts for Project</t>
  </si>
  <si>
    <t>Haul Road Removal</t>
  </si>
  <si>
    <t>No</t>
  </si>
  <si>
    <t>Tower</t>
  </si>
  <si>
    <t>Number of Towers</t>
  </si>
  <si>
    <t>each</t>
  </si>
  <si>
    <t>Underground Cable/Pit Removal</t>
  </si>
  <si>
    <t>Tower Height</t>
  </si>
  <si>
    <t>m</t>
  </si>
  <si>
    <t>This is one function of main crane size</t>
  </si>
  <si>
    <t>Concrete Foundation Removal</t>
  </si>
  <si>
    <t>Tower Weight</t>
  </si>
  <si>
    <t>tonne</t>
  </si>
  <si>
    <t>Steel and Iron Recovery</t>
  </si>
  <si>
    <t>Yes</t>
  </si>
  <si>
    <t>Average Turbine Size</t>
  </si>
  <si>
    <t>MW/turbine</t>
  </si>
  <si>
    <t>Aluminium and Alloy Recovery</t>
  </si>
  <si>
    <t>Nacelle Weight  Per Turbine Size</t>
  </si>
  <si>
    <t>tonne/MW</t>
  </si>
  <si>
    <t>This is onether function of main crane size</t>
  </si>
  <si>
    <t>Copper and Alloy Recovery</t>
  </si>
  <si>
    <t>Blade Weight Per Tower</t>
  </si>
  <si>
    <t>Polymer Recovery</t>
  </si>
  <si>
    <t>Surface area of foundation above ground</t>
  </si>
  <si>
    <t>m2</t>
  </si>
  <si>
    <t>Plan area of foundation above existing ground</t>
  </si>
  <si>
    <t>Carbon/Glass Recovery</t>
  </si>
  <si>
    <t>Height of Foundation above Existing ground</t>
  </si>
  <si>
    <t>Electronics Recovery</t>
  </si>
  <si>
    <t>Depth of Foundation Below Ground To Be Removed</t>
  </si>
  <si>
    <t>Fuels/Fluids Recovery</t>
  </si>
  <si>
    <t>Oil/Grease Quantity</t>
  </si>
  <si>
    <t>lt</t>
  </si>
  <si>
    <t>per turbine</t>
  </si>
  <si>
    <t>Concrete Recovery</t>
  </si>
  <si>
    <t>Cable/Pits</t>
  </si>
  <si>
    <t>Number of Cables On Towers</t>
  </si>
  <si>
    <t>Assumed 3 sets of cables and the length is tower length plus 25m</t>
  </si>
  <si>
    <t>Number of Cables/Conduits Below Ground</t>
  </si>
  <si>
    <t>Refer to 'Wind Turbine Triger' table to exclude</t>
  </si>
  <si>
    <t>Average Copper mass kg Per KM</t>
  </si>
  <si>
    <t>kgs/km</t>
  </si>
  <si>
    <t>Pit Intervals</t>
  </si>
  <si>
    <t>Access Road/Make Good</t>
  </si>
  <si>
    <t>Access Road Quantity</t>
  </si>
  <si>
    <t>Access Road Base Depth</t>
  </si>
  <si>
    <t xml:space="preserve">Topsoiling/Hydroseeding </t>
  </si>
  <si>
    <t>Potentially for removed access road, removed buildings and removed turbines</t>
  </si>
  <si>
    <t>Demolish</t>
  </si>
  <si>
    <t>Number of Buildings To Be Demolished</t>
  </si>
  <si>
    <t>Site Size</t>
  </si>
  <si>
    <t>Overall Site Size</t>
  </si>
  <si>
    <t>Ha</t>
  </si>
  <si>
    <t>Mod/Demob</t>
  </si>
  <si>
    <t>Number of Plants To Mobilise</t>
  </si>
  <si>
    <t>Crew Size</t>
  </si>
  <si>
    <t>Recovery</t>
  </si>
  <si>
    <t>Steel &amp; iron Recovery</t>
  </si>
  <si>
    <t>%</t>
  </si>
  <si>
    <t>Distances</t>
  </si>
  <si>
    <t>Avg. Distance Between Turbines</t>
  </si>
  <si>
    <t>This will affect the productivity, productivity will be less since the inefficiency increases</t>
  </si>
  <si>
    <t>Distance to Scrap/Recycle</t>
  </si>
  <si>
    <t>km</t>
  </si>
  <si>
    <t>This will affect the cost of transport</t>
  </si>
  <si>
    <t>Distance to Landfill</t>
  </si>
  <si>
    <t>Contractor Allowance for Margin and Overheads</t>
  </si>
  <si>
    <t>Risk/Contingency Allowance</t>
  </si>
  <si>
    <t>WIND TURBINE DECOMMISSION OUTPUTS</t>
  </si>
  <si>
    <t>AMOUNT</t>
  </si>
  <si>
    <t>Total Cost Exc Recovery</t>
  </si>
  <si>
    <t>$</t>
  </si>
  <si>
    <t>Recovery of Material</t>
  </si>
  <si>
    <t>Total Cost After Recovery</t>
  </si>
  <si>
    <t>Cost Per MW Exc Recovery</t>
  </si>
  <si>
    <t>$/MW</t>
  </si>
  <si>
    <t>Cost Per MW Inc Recovery</t>
  </si>
  <si>
    <t>Cost Per Turbine Exc Recovery</t>
  </si>
  <si>
    <t>$/turbine</t>
  </si>
  <si>
    <t>Cost Per Turbine Inc Recovery</t>
  </si>
  <si>
    <t>DECOMMISSIONING OF WIND TURBINE DIRECT JOB COST</t>
  </si>
  <si>
    <t>ITEM NO</t>
  </si>
  <si>
    <t>CREW</t>
  </si>
  <si>
    <t>RATE PER UNIT</t>
  </si>
  <si>
    <t>PRODUCTIVITY PER  UNIT</t>
  </si>
  <si>
    <t>DURATION (DAYS)</t>
  </si>
  <si>
    <t>TOTAL AMOUNT ($)</t>
  </si>
  <si>
    <t>NO CREWS</t>
  </si>
  <si>
    <t>NO MEN IN A CREW</t>
  </si>
  <si>
    <t>TOTAL MEN</t>
  </si>
  <si>
    <t>Electrical Works</t>
  </si>
  <si>
    <t>Electrical Works Total</t>
  </si>
  <si>
    <t>Assumed 4 Turbines Per Day- Isolate each Turbine</t>
  </si>
  <si>
    <t>Removal of Liquid</t>
  </si>
  <si>
    <t>Fluid Removal Total</t>
  </si>
  <si>
    <t>PR to be confirmed</t>
  </si>
  <si>
    <t>Cable Removal</t>
  </si>
  <si>
    <t>Cable Removal Crew</t>
  </si>
  <si>
    <t>Assumed 6 cables in conduit trenches and 3 cables per tower</t>
  </si>
  <si>
    <t>Removal of Turbine/Blades/Tower</t>
  </si>
  <si>
    <t>Turbine Crew</t>
  </si>
  <si>
    <t>Each</t>
  </si>
  <si>
    <r>
      <t>Remove Turbine &amp;</t>
    </r>
    <r>
      <rPr>
        <sz val="11"/>
        <color rgb="FFFF0000"/>
        <rFont val="Public Sans Light"/>
        <family val="2"/>
        <scheme val="minor"/>
      </rPr>
      <t xml:space="preserve"> </t>
    </r>
    <r>
      <rPr>
        <sz val="11"/>
        <rFont val="Public Sans Light"/>
        <family val="2"/>
        <scheme val="minor"/>
      </rPr>
      <t>Blades 2 days to disassemble</t>
    </r>
  </si>
  <si>
    <t>Disassemble Tower 1 tower per day</t>
  </si>
  <si>
    <t>Internal Mob/Demob</t>
  </si>
  <si>
    <t>Internal relocation, prestart, travel, inefficiency</t>
  </si>
  <si>
    <t>Removal of Turbine Concrete Footing</t>
  </si>
  <si>
    <t>Concrete Crew Total</t>
  </si>
  <si>
    <t>m3</t>
  </si>
  <si>
    <t>Assumed only 1m to be removed. Assumed 25m3 per hr demolition</t>
  </si>
  <si>
    <t>Concrete Disposal Crew</t>
  </si>
  <si>
    <t>Disposal Fee</t>
  </si>
  <si>
    <t>Recovery Steel</t>
  </si>
  <si>
    <t>Steel Recovery . It is assumed that the density of reo is 220kg/m3</t>
  </si>
  <si>
    <t>Backfill Crew</t>
  </si>
  <si>
    <t>Site won material - from onsite borrow pit - maybe reused access road material</t>
  </si>
  <si>
    <t>Removal Of Conduits/Cables</t>
  </si>
  <si>
    <t>Conduit Crew Total</t>
  </si>
  <si>
    <t>8 conduits removed &amp; Backfilled 20m Per hr</t>
  </si>
  <si>
    <t>Pit Crew Total</t>
  </si>
  <si>
    <t>Assume Concrete pit @ 250m cts - 900x900 pit</t>
  </si>
  <si>
    <t>Conduit Disposal - T&amp;D</t>
  </si>
  <si>
    <t>One T&amp;D can carry 750m of used conduit. Considering the distance total cycle time is around 8hr</t>
  </si>
  <si>
    <t>Disposal Fee - conduits</t>
  </si>
  <si>
    <t>The weight of 50mm conduit per m is around 0.78kg and it is assumed that there 4 conduits to be removed</t>
  </si>
  <si>
    <t>Disposal Fee -pits</t>
  </si>
  <si>
    <t>The weight of 63mm conduit per m is around 1.2kg. Disposal rate to be confirmed</t>
  </si>
  <si>
    <t>Removal of Access Road</t>
  </si>
  <si>
    <t>Road/Crane Pad Crew</t>
  </si>
  <si>
    <t>Assumed cables are by the road and 5m wide</t>
  </si>
  <si>
    <t>Road Material Disposal</t>
  </si>
  <si>
    <t>Assumed road formation assumed 150mm recovered and topdressed</t>
  </si>
  <si>
    <t>Removal of Buildings</t>
  </si>
  <si>
    <t>Building Crew</t>
  </si>
  <si>
    <t>Assumed 50 tonne debris per building and in total 3 buildings. One admin, two electrical</t>
  </si>
  <si>
    <t>Break Down Tower &amp; Turbine</t>
  </si>
  <si>
    <t>Breakdown Crew</t>
  </si>
  <si>
    <t>Breakdown the Tower to 26tonne loads. Productivity is cutting two towers per day. It is assumed that tower weight is 5.91 tonne per m</t>
  </si>
  <si>
    <t>Breakdown turbine to 26 tone loads</t>
  </si>
  <si>
    <t>Transport Turbine Material Off Site</t>
  </si>
  <si>
    <t>Turbine Material Disposal</t>
  </si>
  <si>
    <t xml:space="preserve">For one truck </t>
  </si>
  <si>
    <t>Refer Below</t>
  </si>
  <si>
    <t>Topsoiling</t>
  </si>
  <si>
    <t>Topsoil Crew</t>
  </si>
  <si>
    <t>Assumed for removed access road, removed buildings and removed turbines</t>
  </si>
  <si>
    <t>Hydroseeding</t>
  </si>
  <si>
    <t>Mobilisation</t>
  </si>
  <si>
    <t>Plant &amp; Equipment</t>
  </si>
  <si>
    <t>Assumed 4xExc, 2xRoller, 4xTipper, 1xGrader,3xWatercart</t>
  </si>
  <si>
    <t>Personnel</t>
  </si>
  <si>
    <t>Total number of labour to be mobilised, not all of them will be on the site at the same time. Assumed that 10 hours mob, 10 hours demob and 8 hour induction</t>
  </si>
  <si>
    <t>Mobile 500T</t>
  </si>
  <si>
    <t>Mobile 200T</t>
  </si>
  <si>
    <t>Mobile 150T</t>
  </si>
  <si>
    <t>Landfill Disposal</t>
  </si>
  <si>
    <t>TOTAL DIRECT JOB COST</t>
  </si>
  <si>
    <t xml:space="preserve">DECOMMSSIONING OF WIND TURBINE INDIRECT JOB COST </t>
  </si>
  <si>
    <t>RATE</t>
  </si>
  <si>
    <t>Establishment of Envrionmental Protection</t>
  </si>
  <si>
    <t>Maintenance of Environmental Protection</t>
  </si>
  <si>
    <t>week</t>
  </si>
  <si>
    <t>Duration is assumed to be around 45weeks</t>
  </si>
  <si>
    <t>Construction of Site Office Establishment</t>
  </si>
  <si>
    <t>LS</t>
  </si>
  <si>
    <t>Construction of Site Office Demob</t>
  </si>
  <si>
    <t>Construction of Site Office recurring cost</t>
  </si>
  <si>
    <t xml:space="preserve">10000 recurring costs </t>
  </si>
  <si>
    <t xml:space="preserve">Traffic Management </t>
  </si>
  <si>
    <t>0.5% of Base Estimate</t>
  </si>
  <si>
    <t>TOTAL INDIRECT JOB COST</t>
  </si>
  <si>
    <t>Subtotal</t>
  </si>
  <si>
    <t>Uplift Margin &amp; Overheads</t>
  </si>
  <si>
    <t>Risk Allowance/Contingency</t>
  </si>
  <si>
    <t>Price per Tower</t>
  </si>
  <si>
    <t>RECOVERY OF MATERIALS</t>
  </si>
  <si>
    <t>Recover</t>
  </si>
  <si>
    <t>Material type</t>
  </si>
  <si>
    <t>Proportion of turbine mass</t>
  </si>
  <si>
    <r>
      <t>Assumed pathway is to</t>
    </r>
    <r>
      <rPr>
        <b/>
        <vertAlign val="superscript"/>
        <sz val="11"/>
        <color rgb="FFFFFFFF"/>
        <rFont val="Calibri"/>
        <family val="2"/>
      </rPr>
      <t>^^</t>
    </r>
    <r>
      <rPr>
        <b/>
        <sz val="11"/>
        <color rgb="FFFFFFFF"/>
        <rFont val="Calibri"/>
        <family val="2"/>
      </rPr>
      <t>:</t>
    </r>
  </si>
  <si>
    <t>Estimated recovery rate</t>
  </si>
  <si>
    <r>
      <t xml:space="preserve">Illustrative scrap value ($/tonne) </t>
    </r>
    <r>
      <rPr>
        <b/>
        <vertAlign val="superscript"/>
        <sz val="11"/>
        <color rgb="FFFFFFFF"/>
        <rFont val="Calibri"/>
        <family val="2"/>
      </rPr>
      <t>##</t>
    </r>
  </si>
  <si>
    <t>Estimated recovery as a % of turbine mass</t>
  </si>
  <si>
    <t>Cables (Copper and Alloy)</t>
  </si>
  <si>
    <t>based on 2,298kgs/km</t>
  </si>
  <si>
    <t>Steel and iron materials</t>
  </si>
  <si>
    <t>Scrap metal facility</t>
  </si>
  <si>
    <t xml:space="preserve">Steel </t>
  </si>
  <si>
    <t>Aluminium and alloys</t>
  </si>
  <si>
    <t>Aluminium and Alloys</t>
  </si>
  <si>
    <t>Copper and alloys</t>
  </si>
  <si>
    <t>Liquids</t>
  </si>
  <si>
    <t>Recover - Nil Cost - 700kg/m3</t>
  </si>
  <si>
    <t>Polymer materials</t>
  </si>
  <si>
    <t>Landfill</t>
  </si>
  <si>
    <t>N/A</t>
  </si>
  <si>
    <t>Concrete materials</t>
  </si>
  <si>
    <t>– scrap value is $20/tonne</t>
  </si>
  <si>
    <t>Carbon / glass composites</t>
  </si>
  <si>
    <t>Polymer Material</t>
  </si>
  <si>
    <t>Electronics / electrics</t>
  </si>
  <si>
    <t>Electronics</t>
  </si>
  <si>
    <t>Fuels and fluids</t>
  </si>
  <si>
    <t>Carbon/ Glass Composites</t>
  </si>
  <si>
    <t>Not specified</t>
  </si>
  <si>
    <r>
      <t xml:space="preserve">^^ for material sent to landfill, assume a </t>
    </r>
    <r>
      <rPr>
        <b/>
        <sz val="11"/>
        <color rgb="FFFF0000"/>
        <rFont val="Public Sans Light"/>
        <family val="2"/>
        <scheme val="minor"/>
      </rPr>
      <t>landfill disposal cost of $300/tonne</t>
    </r>
  </si>
  <si>
    <t>Overall</t>
  </si>
  <si>
    <t>Weighted average = $125/tonne</t>
  </si>
  <si>
    <t>## assumed scrap values are likely to be conservative</t>
  </si>
  <si>
    <t>Total Recovery</t>
  </si>
  <si>
    <r>
      <t xml:space="preserve">** for the concrete foundations, assume all material is sent to a recovery facility – </t>
    </r>
    <r>
      <rPr>
        <b/>
        <sz val="11"/>
        <color rgb="FFFF0000"/>
        <rFont val="Public Sans Light"/>
        <family val="2"/>
        <scheme val="minor"/>
      </rPr>
      <t>scrap value is $20/tonne</t>
    </r>
  </si>
  <si>
    <t>Total</t>
  </si>
  <si>
    <t>per Tower</t>
  </si>
  <si>
    <t>LABOUR RATES USED</t>
  </si>
  <si>
    <t>CREW RATES PER DAY</t>
  </si>
  <si>
    <t>INCLUSION</t>
  </si>
  <si>
    <t>QTY</t>
  </si>
  <si>
    <t>TOTAL RATE PER DAY</t>
  </si>
  <si>
    <t>LAB-CW2</t>
  </si>
  <si>
    <t>HR</t>
  </si>
  <si>
    <t>General Labour</t>
  </si>
  <si>
    <t>LAB-CW5</t>
  </si>
  <si>
    <t>hr</t>
  </si>
  <si>
    <t>2 man crew</t>
  </si>
  <si>
    <t>LAB-CW3</t>
  </si>
  <si>
    <t>Fitter</t>
  </si>
  <si>
    <t>Qualified Trade</t>
  </si>
  <si>
    <t>LAB-CW6</t>
  </si>
  <si>
    <t>Operator</t>
  </si>
  <si>
    <t>Liquid Waste removal</t>
  </si>
  <si>
    <t>Liquid Waste Specialist</t>
  </si>
  <si>
    <t>4 man crew</t>
  </si>
  <si>
    <t>Labour</t>
  </si>
  <si>
    <t>Hours Per Day</t>
  </si>
  <si>
    <t>Tools</t>
  </si>
  <si>
    <t>Small Tools</t>
  </si>
  <si>
    <t>PLANT RATES USED</t>
  </si>
  <si>
    <t xml:space="preserve">Excavator </t>
  </si>
  <si>
    <t>Excavator 30T</t>
  </si>
  <si>
    <t>Concrete Breaker</t>
  </si>
  <si>
    <t>Hammer 30T</t>
  </si>
  <si>
    <t>Tipper</t>
  </si>
  <si>
    <t>Tipper 20T</t>
  </si>
  <si>
    <t>Taking the concrete to site stockpile</t>
  </si>
  <si>
    <t>Excavator 20T</t>
  </si>
  <si>
    <t>2man  crew</t>
  </si>
  <si>
    <t>day</t>
  </si>
  <si>
    <t>Hammer 20T</t>
  </si>
  <si>
    <t>Roller 15-20T</t>
  </si>
  <si>
    <t>Excavator</t>
  </si>
  <si>
    <t>Watercart 12-15KL</t>
  </si>
  <si>
    <t>Grader 140</t>
  </si>
  <si>
    <t>2man crew</t>
  </si>
  <si>
    <t>Roller</t>
  </si>
  <si>
    <t>Watercart</t>
  </si>
  <si>
    <t>Mobile 300T</t>
  </si>
  <si>
    <t>Boom lift 40m</t>
  </si>
  <si>
    <t>T&amp;D</t>
  </si>
  <si>
    <t>Road Train/Semi Trailer</t>
  </si>
  <si>
    <t>Grader</t>
  </si>
  <si>
    <t>Oxy Cutter</t>
  </si>
  <si>
    <t>NO TRUCKS CONCRETE DISPOSAL</t>
  </si>
  <si>
    <t>Distance</t>
  </si>
  <si>
    <t>Speed</t>
  </si>
  <si>
    <t>km/hr</t>
  </si>
  <si>
    <t xml:space="preserve">T&amp;D Capacity </t>
  </si>
  <si>
    <t>One excavator breaking, one excavator loading</t>
  </si>
  <si>
    <t>Concrete Loading PR</t>
  </si>
  <si>
    <t>m3/hr</t>
  </si>
  <si>
    <t>Loading Time</t>
  </si>
  <si>
    <t>min</t>
  </si>
  <si>
    <t>Haulage Time</t>
  </si>
  <si>
    <t>Unloading</t>
  </si>
  <si>
    <t>4man crew</t>
  </si>
  <si>
    <t>Change Trucks</t>
  </si>
  <si>
    <t>Total Cycle Time</t>
  </si>
  <si>
    <t>Number of Trucks</t>
  </si>
  <si>
    <t>mass</t>
  </si>
  <si>
    <t>height</t>
  </si>
  <si>
    <t xml:space="preserve">Main Crane </t>
  </si>
  <si>
    <t>Rates to be confirmed</t>
  </si>
  <si>
    <t>NO TRUCKS ROAD MATERIAL DISPOSAL</t>
  </si>
  <si>
    <t>Support Crane</t>
  </si>
  <si>
    <t>Lift</t>
  </si>
  <si>
    <t>Boom Lift 40m</t>
  </si>
  <si>
    <t xml:space="preserve">Rigger </t>
  </si>
  <si>
    <t>6man crew</t>
  </si>
  <si>
    <t>Loading PR</t>
  </si>
  <si>
    <t>Truck</t>
  </si>
  <si>
    <t>Per day PR is 30x10=300m3. Hence one excavator can load up to 750tonne/30 = 25 trucks</t>
  </si>
  <si>
    <t>Per day PR is 75*10=750m3 per day. Hence one excavator can load up to 1350tonne/30 = 45 T&amp;D</t>
  </si>
  <si>
    <t>Recovery of Materials</t>
  </si>
  <si>
    <t>Crane</t>
  </si>
  <si>
    <t xml:space="preserve">Truck </t>
  </si>
  <si>
    <t>Assumed that tower will be transported in 4 pieces, generator will be transported in 10 pieces and blades in 3 pieces. Hence, there will be 17 truck loads for one turbine</t>
  </si>
  <si>
    <t>Rigger</t>
  </si>
  <si>
    <t>Watecart</t>
  </si>
  <si>
    <t>1 man crew</t>
  </si>
  <si>
    <t>Hammer</t>
  </si>
  <si>
    <t xml:space="preserve">How to use </t>
  </si>
  <si>
    <t>Wind Energy Decomissioning Calculator</t>
  </si>
  <si>
    <t>Terms of use and disclaimer</t>
  </si>
  <si>
    <t>Users of the calculator must exercise their own skill and judgment and should seek advice from a suitably qualified experts, where appropriate.</t>
  </si>
  <si>
    <t>This calculator is provided for use by the public including persons engaging in commercial activities.</t>
  </si>
  <si>
    <t>No person or entity (including, without limitation, the State of New South Wales) associated with the development of the calculator makes any representation or warranty regarding its contents, or is liable for any loss or damage whatsoever that may result from the use of the template or any portion or variation thereof, or any other materials presented in conjunction with the calculator, or any errors or omissions in its contents.</t>
  </si>
  <si>
    <t xml:space="preserve">The outputs of the calculator are estimations only and subject to a range of variables that can and will change overtime. </t>
  </si>
  <si>
    <t xml:space="preserve">This calculator contains a range of fields that can be modified to account for the individual aspects of a project.  Other fields and information are locked to provide consistent estimations. 
Enter information into the 'CALCULATOR TAB' to determine an estimate. </t>
  </si>
  <si>
    <t>Fields that can be modified are shown in blue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</si>
</sst>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quot;$&quot;#,##0.00"/>
    <numFmt numFmtId="166" formatCode="#,##0;[Red]\(#,##0\)"/>
    <numFmt numFmtId="167" formatCode="#,##0.00;[Red]\(#,##0.00\)"/>
    <numFmt numFmtId="168" formatCode="0.0%"/>
    <numFmt numFmtId="169" formatCode="#,##0.0;[Red]\(#,##0.0\)"/>
    <numFmt numFmtId="170" formatCode="#,##0.000;\-#,##0.000"/>
  </numFmts>
  <fonts count="19" x14ac:knownFonts="1">
    <font>
      <sz val="11"/>
      <color theme="1"/>
      <name val="Public Sans Light"/>
      <family val="2"/>
      <scheme val="minor"/>
    </font>
    <font>
      <sz val="11"/>
      <color theme="1"/>
      <name val="Public Sans Light"/>
      <family val="2"/>
      <scheme val="minor"/>
    </font>
    <font>
      <b/>
      <sz val="11"/>
      <color theme="1"/>
      <name val="Public Sans Light"/>
      <family val="2"/>
      <scheme val="minor"/>
    </font>
    <font>
      <b/>
      <u/>
      <sz val="11"/>
      <color theme="1"/>
      <name val="Public Sans Light"/>
      <family val="2"/>
      <scheme val="minor"/>
    </font>
    <font>
      <b/>
      <i/>
      <sz val="11"/>
      <color theme="1"/>
      <name val="Public Sans Light"/>
      <family val="2"/>
      <scheme val="minor"/>
    </font>
    <font>
      <b/>
      <u/>
      <sz val="12"/>
      <color theme="1"/>
      <name val="Public Sans Light"/>
      <family val="2"/>
      <scheme val="minor"/>
    </font>
    <font>
      <b/>
      <u/>
      <sz val="14"/>
      <color theme="1"/>
      <name val="Public Sans Light"/>
      <family val="2"/>
      <scheme val="minor"/>
    </font>
    <font>
      <sz val="11"/>
      <color rgb="FFFF0000"/>
      <name val="Public Sans Light"/>
      <family val="2"/>
      <scheme val="minor"/>
    </font>
    <font>
      <sz val="11"/>
      <name val="Public Sans Light"/>
      <family val="2"/>
      <scheme val="minor"/>
    </font>
    <font>
      <sz val="10"/>
      <color theme="1"/>
      <name val="Times New Roman"/>
      <family val="1"/>
    </font>
    <font>
      <b/>
      <sz val="11"/>
      <color rgb="FFFFFFFF"/>
      <name val="Calibri"/>
      <family val="2"/>
    </font>
    <font>
      <b/>
      <vertAlign val="superscript"/>
      <sz val="11"/>
      <color rgb="FFFFFFFF"/>
      <name val="Calibri"/>
      <family val="2"/>
    </font>
    <font>
      <sz val="11"/>
      <color rgb="FF000000"/>
      <name val="Calibri"/>
      <family val="2"/>
    </font>
    <font>
      <b/>
      <sz val="11"/>
      <color rgb="FFFF0000"/>
      <name val="Public Sans Light"/>
      <family val="2"/>
      <scheme val="minor"/>
    </font>
    <font>
      <sz val="11"/>
      <color theme="0"/>
      <name val="Public Sans Light"/>
      <family val="2"/>
      <scheme val="minor"/>
    </font>
    <font>
      <b/>
      <i/>
      <sz val="12"/>
      <color theme="1"/>
      <name val="Public Sans Light"/>
      <family val="2"/>
      <scheme val="minor"/>
    </font>
    <font>
      <b/>
      <sz val="20"/>
      <color theme="1"/>
      <name val="Public Sans Light"/>
      <scheme val="minor"/>
    </font>
    <font>
      <b/>
      <sz val="12"/>
      <color theme="1"/>
      <name val="Public Sans Light"/>
      <scheme val="minor"/>
    </font>
    <font>
      <sz val="11"/>
      <color theme="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4D71"/>
        <bgColor indexed="64"/>
      </patternFill>
    </fill>
    <fill>
      <patternFill patternType="solid">
        <fgColor rgb="FFCBD0D5"/>
        <bgColor indexed="64"/>
      </patternFill>
    </fill>
    <fill>
      <patternFill patternType="solid">
        <fgColor rgb="FFE7E9EB"/>
        <bgColor indexed="64"/>
      </patternFill>
    </fill>
    <fill>
      <patternFill patternType="solid">
        <fgColor theme="0" tint="-4.9989318521683403E-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165" fontId="3" fillId="0" borderId="1" xfId="0" applyNumberFormat="1" applyFont="1" applyBorder="1" applyAlignment="1">
      <alignment horizontal="center"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0" fontId="0" fillId="2" borderId="1" xfId="0" applyFill="1" applyBorder="1" applyAlignment="1">
      <alignment horizontal="center" vertical="center"/>
    </xf>
    <xf numFmtId="165" fontId="0" fillId="2" borderId="1" xfId="0" applyNumberFormat="1" applyFill="1" applyBorder="1" applyAlignment="1">
      <alignment horizontal="center" vertical="center"/>
    </xf>
    <xf numFmtId="164" fontId="0" fillId="0" borderId="0" xfId="0" applyNumberFormat="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0" fillId="4" borderId="1" xfId="0" applyFill="1" applyBorder="1" applyAlignment="1">
      <alignment horizontal="center" vertical="center"/>
    </xf>
    <xf numFmtId="165" fontId="0" fillId="4" borderId="1" xfId="0" applyNumberFormat="1" applyFill="1" applyBorder="1" applyAlignment="1">
      <alignment horizontal="center" vertical="center"/>
    </xf>
    <xf numFmtId="166" fontId="0" fillId="0" borderId="1" xfId="0" applyNumberFormat="1" applyBorder="1" applyAlignment="1">
      <alignment horizontal="center" vertical="center"/>
    </xf>
    <xf numFmtId="165" fontId="2" fillId="0" borderId="1" xfId="0" applyNumberFormat="1" applyFont="1" applyBorder="1" applyAlignment="1">
      <alignment horizontal="center" vertical="center" wrapText="1"/>
    </xf>
    <xf numFmtId="166" fontId="0" fillId="0" borderId="1" xfId="1" applyNumberFormat="1" applyFont="1" applyFill="1" applyBorder="1" applyAlignment="1">
      <alignment horizontal="center" vertical="center"/>
    </xf>
    <xf numFmtId="166" fontId="0" fillId="4" borderId="1" xfId="0" applyNumberFormat="1" applyFill="1" applyBorder="1" applyAlignment="1">
      <alignment horizontal="center" vertical="center"/>
    </xf>
    <xf numFmtId="166" fontId="0" fillId="0" borderId="0" xfId="0" applyNumberFormat="1" applyAlignment="1">
      <alignment horizontal="center" vertical="center"/>
    </xf>
    <xf numFmtId="168" fontId="0" fillId="0" borderId="1" xfId="2" applyNumberFormat="1" applyFont="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0" fillId="0" borderId="0" xfId="0" applyAlignment="1">
      <alignment horizontal="right" vertical="center"/>
    </xf>
    <xf numFmtId="166" fontId="3" fillId="2" borderId="1" xfId="0" applyNumberFormat="1" applyFont="1" applyFill="1" applyBorder="1" applyAlignment="1">
      <alignment horizontal="center" vertical="center"/>
    </xf>
    <xf numFmtId="166" fontId="2" fillId="0" borderId="0" xfId="0" applyNumberFormat="1" applyFont="1" applyAlignment="1">
      <alignment horizontal="center" vertical="center"/>
    </xf>
    <xf numFmtId="0" fontId="4" fillId="3" borderId="1" xfId="0" applyFont="1" applyFill="1" applyBorder="1" applyAlignment="1">
      <alignment horizontal="center" vertical="center"/>
    </xf>
    <xf numFmtId="167" fontId="0" fillId="0" borderId="1" xfId="0" applyNumberFormat="1" applyBorder="1" applyAlignment="1">
      <alignment horizontal="center" vertical="center"/>
    </xf>
    <xf numFmtId="0" fontId="0" fillId="3" borderId="1" xfId="0" applyFill="1" applyBorder="1" applyAlignment="1">
      <alignment horizontal="center" vertical="center"/>
    </xf>
    <xf numFmtId="166" fontId="2" fillId="0" borderId="5" xfId="0" applyNumberFormat="1" applyFont="1" applyBorder="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165" fontId="4" fillId="0" borderId="0" xfId="0" applyNumberFormat="1" applyFont="1" applyAlignment="1">
      <alignment horizontal="right" vertical="center"/>
    </xf>
    <xf numFmtId="166" fontId="4" fillId="0" borderId="0" xfId="0" applyNumberFormat="1" applyFont="1" applyAlignment="1">
      <alignment horizontal="center" vertical="center"/>
    </xf>
    <xf numFmtId="0" fontId="3" fillId="3" borderId="1" xfId="0" applyFont="1" applyFill="1" applyBorder="1" applyAlignment="1">
      <alignment horizontal="center" vertical="center"/>
    </xf>
    <xf numFmtId="2" fontId="0" fillId="0" borderId="1" xfId="0" applyNumberFormat="1" applyBorder="1" applyAlignment="1">
      <alignment horizontal="center" vertical="center"/>
    </xf>
    <xf numFmtId="37" fontId="0" fillId="0" borderId="1" xfId="0" applyNumberFormat="1" applyBorder="1" applyAlignment="1">
      <alignment horizontal="center" vertical="center"/>
    </xf>
    <xf numFmtId="0" fontId="10" fillId="5"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12" fillId="6" borderId="8" xfId="0" applyFont="1" applyFill="1" applyBorder="1" applyAlignment="1">
      <alignment vertical="center" wrapText="1"/>
    </xf>
    <xf numFmtId="9" fontId="12" fillId="6" borderId="9" xfId="0" applyNumberFormat="1" applyFont="1" applyFill="1" applyBorder="1" applyAlignment="1">
      <alignment vertical="center" wrapText="1"/>
    </xf>
    <xf numFmtId="0" fontId="12" fillId="6" borderId="9" xfId="0" applyFont="1" applyFill="1" applyBorder="1" applyAlignment="1">
      <alignment vertical="center" wrapText="1"/>
    </xf>
    <xf numFmtId="10" fontId="12" fillId="6" borderId="9" xfId="0" applyNumberFormat="1" applyFont="1" applyFill="1" applyBorder="1" applyAlignment="1">
      <alignment vertical="center" wrapText="1"/>
    </xf>
    <xf numFmtId="0" fontId="12" fillId="7" borderId="8" xfId="0" applyFont="1" applyFill="1" applyBorder="1" applyAlignment="1">
      <alignment vertical="center" wrapText="1"/>
    </xf>
    <xf numFmtId="9" fontId="12" fillId="7" borderId="9" xfId="0" applyNumberFormat="1" applyFont="1" applyFill="1" applyBorder="1" applyAlignment="1">
      <alignment vertical="center" wrapText="1"/>
    </xf>
    <xf numFmtId="0" fontId="12" fillId="7" borderId="9" xfId="0" applyFont="1" applyFill="1" applyBorder="1" applyAlignment="1">
      <alignment vertical="center" wrapText="1"/>
    </xf>
    <xf numFmtId="10" fontId="12" fillId="7" borderId="9" xfId="0" applyNumberFormat="1" applyFont="1" applyFill="1" applyBorder="1" applyAlignment="1">
      <alignment vertical="center" wrapText="1"/>
    </xf>
    <xf numFmtId="0" fontId="9" fillId="6" borderId="9" xfId="0" applyFont="1" applyFill="1" applyBorder="1" applyAlignment="1">
      <alignment vertical="center" wrapText="1"/>
    </xf>
    <xf numFmtId="0" fontId="0" fillId="0" borderId="0" xfId="0" applyAlignment="1">
      <alignment vertical="center"/>
    </xf>
    <xf numFmtId="0" fontId="0" fillId="0" borderId="5" xfId="0" applyBorder="1" applyAlignment="1">
      <alignment horizontal="center" vertical="center"/>
    </xf>
    <xf numFmtId="166" fontId="0" fillId="0" borderId="5" xfId="0" applyNumberFormat="1" applyBorder="1" applyAlignment="1">
      <alignment horizontal="center" vertical="center"/>
    </xf>
    <xf numFmtId="169" fontId="0" fillId="0" borderId="1" xfId="0" applyNumberForma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0" borderId="0" xfId="0" applyFont="1" applyAlignment="1" applyProtection="1">
      <alignment horizontal="center" vertical="center"/>
      <protection hidden="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164" fontId="15" fillId="3" borderId="1" xfId="1" applyFont="1" applyFill="1" applyBorder="1" applyAlignment="1">
      <alignment horizontal="center" vertical="center"/>
    </xf>
    <xf numFmtId="16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166" fontId="0" fillId="0" borderId="1" xfId="0" applyNumberFormat="1" applyFill="1" applyBorder="1" applyAlignment="1">
      <alignment horizontal="center" vertical="center"/>
    </xf>
    <xf numFmtId="0" fontId="3" fillId="8" borderId="1" xfId="0" applyFont="1" applyFill="1" applyBorder="1" applyAlignment="1">
      <alignment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4" xfId="0" applyFont="1" applyFill="1" applyBorder="1" applyAlignment="1">
      <alignment horizontal="center" vertical="center"/>
    </xf>
    <xf numFmtId="37" fontId="14" fillId="9" borderId="1" xfId="0" applyNumberFormat="1" applyFont="1" applyFill="1" applyBorder="1" applyAlignment="1" applyProtection="1">
      <alignment horizontal="center" vertical="center"/>
      <protection locked="0"/>
    </xf>
    <xf numFmtId="39" fontId="14" fillId="9" borderId="1" xfId="0" applyNumberFormat="1" applyFont="1" applyFill="1" applyBorder="1" applyAlignment="1" applyProtection="1">
      <alignment horizontal="center" vertical="center"/>
      <protection locked="0"/>
    </xf>
    <xf numFmtId="170" fontId="14" fillId="9" borderId="1" xfId="0" applyNumberFormat="1" applyFont="1" applyFill="1" applyBorder="1" applyAlignment="1" applyProtection="1">
      <alignment horizontal="center" vertical="center"/>
      <protection locked="0"/>
    </xf>
    <xf numFmtId="9" fontId="14" fillId="9" borderId="12" xfId="2" applyFont="1" applyFill="1" applyBorder="1" applyAlignment="1" applyProtection="1">
      <alignment horizontal="center" vertical="center"/>
      <protection locked="0"/>
    </xf>
    <xf numFmtId="9" fontId="14" fillId="9" borderId="13" xfId="2"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165" fontId="14" fillId="9" borderId="1" xfId="0" applyNumberFormat="1" applyFont="1" applyFill="1" applyBorder="1" applyAlignment="1" applyProtection="1">
      <alignment horizontal="center" vertical="center"/>
      <protection locked="0"/>
    </xf>
    <xf numFmtId="0" fontId="0" fillId="0" borderId="18" xfId="0" applyBorder="1"/>
    <xf numFmtId="0" fontId="16" fillId="0" borderId="18" xfId="0" applyFont="1" applyBorder="1"/>
    <xf numFmtId="0" fontId="17" fillId="0" borderId="18" xfId="0" applyFont="1" applyBorder="1"/>
    <xf numFmtId="0" fontId="17" fillId="0" borderId="18" xfId="0" applyFont="1" applyBorder="1" applyAlignment="1">
      <alignment horizontal="left" vertical="center"/>
    </xf>
    <xf numFmtId="0" fontId="0" fillId="0" borderId="19" xfId="0" applyBorder="1" applyAlignment="1">
      <alignment horizontal="left" wrapText="1"/>
    </xf>
    <xf numFmtId="0" fontId="0" fillId="0" borderId="20" xfId="0" applyBorder="1" applyAlignment="1">
      <alignment horizontal="left" wrapText="1"/>
    </xf>
    <xf numFmtId="0" fontId="0" fillId="0" borderId="19" xfId="0" applyBorder="1"/>
    <xf numFmtId="0" fontId="0" fillId="0" borderId="20" xfId="0" applyBorder="1"/>
    <xf numFmtId="0" fontId="0" fillId="0" borderId="21" xfId="0" applyBorder="1"/>
    <xf numFmtId="0" fontId="0" fillId="0" borderId="22" xfId="0" applyBorder="1"/>
    <xf numFmtId="0" fontId="14" fillId="9" borderId="1" xfId="0" applyFont="1" applyFill="1" applyBorder="1" applyAlignment="1">
      <alignment wrapText="1"/>
    </xf>
    <xf numFmtId="9" fontId="18" fillId="9" borderId="9" xfId="0" applyNumberFormat="1" applyFont="1" applyFill="1" applyBorder="1" applyAlignment="1" applyProtection="1">
      <alignment vertical="center" wrapText="1"/>
      <protection locked="0"/>
    </xf>
    <xf numFmtId="0" fontId="18" fillId="9" borderId="9" xfId="0" applyFont="1" applyFill="1" applyBorder="1" applyAlignment="1" applyProtection="1">
      <alignment vertical="center" wrapText="1"/>
      <protection locked="0"/>
    </xf>
    <xf numFmtId="10" fontId="18" fillId="9" borderId="9" xfId="0" applyNumberFormat="1" applyFont="1" applyFill="1" applyBorder="1" applyAlignment="1" applyProtection="1">
      <alignment vertical="center" wrapText="1"/>
      <protection locked="0"/>
    </xf>
    <xf numFmtId="3" fontId="18" fillId="9" borderId="9" xfId="0" applyNumberFormat="1" applyFont="1" applyFill="1" applyBorder="1" applyAlignment="1" applyProtection="1">
      <alignment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571500</xdr:colOff>
      <xdr:row>1</xdr:row>
      <xdr:rowOff>0</xdr:rowOff>
    </xdr:from>
    <xdr:to>
      <xdr:col>3</xdr:col>
      <xdr:colOff>352425</xdr:colOff>
      <xdr:row>15</xdr:row>
      <xdr:rowOff>114300</xdr:rowOff>
    </xdr:to>
    <xdr:sp macro="" textlink="">
      <xdr:nvSpPr>
        <xdr:cNvPr id="2" name="Rectangle 1">
          <a:extLst>
            <a:ext uri="{FF2B5EF4-FFF2-40B4-BE49-F238E27FC236}">
              <a16:creationId xmlns:a16="http://schemas.microsoft.com/office/drawing/2014/main" id="{769EF34F-E6B5-0EBA-A20B-3EB12B38F1F9}"/>
            </a:ext>
          </a:extLst>
        </xdr:cNvPr>
        <xdr:cNvSpPr/>
      </xdr:nvSpPr>
      <xdr:spPr>
        <a:xfrm>
          <a:off x="571500" y="228600"/>
          <a:ext cx="6429375" cy="7410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DPE">
  <a:themeElements>
    <a:clrScheme name="NSWG Corporate">
      <a:dk1>
        <a:srgbClr val="22272B"/>
      </a:dk1>
      <a:lt1>
        <a:srgbClr val="FFFFFF"/>
      </a:lt1>
      <a:dk2>
        <a:srgbClr val="D7153A"/>
      </a:dk2>
      <a:lt2>
        <a:srgbClr val="002664"/>
      </a:lt2>
      <a:accent1>
        <a:srgbClr val="002664"/>
      </a:accent1>
      <a:accent2>
        <a:srgbClr val="CBEDFD"/>
      </a:accent2>
      <a:accent3>
        <a:srgbClr val="146CFD"/>
      </a:accent3>
      <a:accent4>
        <a:srgbClr val="8CE0FF"/>
      </a:accent4>
      <a:accent5>
        <a:srgbClr val="495054"/>
      </a:accent5>
      <a:accent6>
        <a:srgbClr val="FFB8C1"/>
      </a:accent6>
      <a:hlink>
        <a:srgbClr val="22272B"/>
      </a:hlink>
      <a:folHlink>
        <a:srgbClr val="22272B"/>
      </a:folHlink>
    </a:clrScheme>
    <a:fontScheme name="NSW Government">
      <a:majorFont>
        <a:latin typeface="Public Sans"/>
        <a:ea typeface=""/>
        <a:cs typeface=""/>
      </a:majorFont>
      <a:minorFont>
        <a:latin typeface="Public Sans Ligh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PE" id="{2259EEF2-EC6B-40B6-B9EA-DAC41C4CB06C}" vid="{14CE330B-546A-4DEA-94FF-E79B4A3AA96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09A4-9305-41DF-AEB8-98C63C5895C1}">
  <dimension ref="A3:C14"/>
  <sheetViews>
    <sheetView tabSelected="1" zoomScaleNormal="100" workbookViewId="0">
      <selection activeCell="E7" sqref="E7"/>
    </sheetView>
  </sheetViews>
  <sheetFormatPr defaultRowHeight="18" x14ac:dyDescent="0.35"/>
  <cols>
    <col min="1" max="1" width="8.796875" style="97"/>
    <col min="2" max="2" width="21.59765625" style="97" customWidth="1"/>
    <col min="3" max="3" width="39.3984375" style="97" customWidth="1"/>
    <col min="4" max="16384" width="8.796875" style="97"/>
  </cols>
  <sheetData>
    <row r="3" spans="1:3" ht="32.25" x14ac:dyDescent="0.6">
      <c r="B3" s="98" t="s">
        <v>311</v>
      </c>
    </row>
    <row r="5" spans="1:3" ht="20.25" x14ac:dyDescent="0.35">
      <c r="B5" s="100" t="s">
        <v>312</v>
      </c>
    </row>
    <row r="6" spans="1:3" ht="45.75" customHeight="1" x14ac:dyDescent="0.35">
      <c r="B6" s="101" t="s">
        <v>314</v>
      </c>
      <c r="C6" s="102"/>
    </row>
    <row r="7" spans="1:3" ht="117" customHeight="1" x14ac:dyDescent="0.35">
      <c r="B7" s="101" t="s">
        <v>315</v>
      </c>
      <c r="C7" s="102"/>
    </row>
    <row r="8" spans="1:3" ht="44.25" customHeight="1" x14ac:dyDescent="0.35">
      <c r="B8" s="101" t="s">
        <v>313</v>
      </c>
      <c r="C8" s="102"/>
    </row>
    <row r="9" spans="1:3" ht="45.75" customHeight="1" x14ac:dyDescent="0.35">
      <c r="B9" s="101" t="s">
        <v>316</v>
      </c>
      <c r="C9" s="102"/>
    </row>
    <row r="10" spans="1:3" ht="42" customHeight="1" x14ac:dyDescent="0.4">
      <c r="B10" s="99" t="s">
        <v>310</v>
      </c>
    </row>
    <row r="11" spans="1:3" ht="101.25" customHeight="1" x14ac:dyDescent="0.35">
      <c r="B11" s="101" t="s">
        <v>317</v>
      </c>
      <c r="C11" s="102"/>
    </row>
    <row r="12" spans="1:3" x14ac:dyDescent="0.35">
      <c r="B12" s="105"/>
    </row>
    <row r="13" spans="1:3" ht="36" x14ac:dyDescent="0.35">
      <c r="A13" s="103"/>
      <c r="B13" s="107" t="s">
        <v>318</v>
      </c>
      <c r="C13" s="104"/>
    </row>
    <row r="14" spans="1:3" x14ac:dyDescent="0.35">
      <c r="B14" s="106"/>
    </row>
  </sheetData>
  <sheetProtection algorithmName="SHA-512" hashValue="vEmRlfE+gZ5WzRSRVg0ZWSpzZGpv0NJJmUrnLsRDz/U/bBWCgUrr4UTPi5WpSesyYP9OiWkpqQ8vDRGzNrTOsQ==" saltValue="rDQpWVjlO/e86Zq90z/m9A==" spinCount="100000" sheet="1" objects="1" scenarios="1"/>
  <mergeCells count="5">
    <mergeCell ref="B9:C9"/>
    <mergeCell ref="B6:C6"/>
    <mergeCell ref="B7:C7"/>
    <mergeCell ref="B8:C8"/>
    <mergeCell ref="B11:C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82E18-7FC6-48EC-B618-BDAC8D46F708}">
  <dimension ref="B2:J49"/>
  <sheetViews>
    <sheetView showGridLines="0" zoomScale="70" zoomScaleNormal="70" workbookViewId="0">
      <selection activeCell="F17" sqref="F17"/>
    </sheetView>
  </sheetViews>
  <sheetFormatPr defaultColWidth="8.796875" defaultRowHeight="18" x14ac:dyDescent="0.35"/>
  <cols>
    <col min="1" max="1" width="8.796875" style="1"/>
    <col min="2" max="2" width="12.296875" style="1" customWidth="1"/>
    <col min="3" max="3" width="50.796875" style="1" customWidth="1"/>
    <col min="4" max="4" width="19" style="1" customWidth="1"/>
    <col min="5" max="5" width="30.796875" style="1" customWidth="1"/>
    <col min="6" max="6" width="72.69921875" style="1" customWidth="1"/>
    <col min="7" max="7" width="8.796875" style="1"/>
    <col min="8" max="8" width="35.796875" style="1" customWidth="1"/>
    <col min="9" max="9" width="19.09765625" style="1" customWidth="1"/>
    <col min="10" max="10" width="17.59765625" style="1" customWidth="1"/>
    <col min="11" max="16384" width="8.796875" style="1"/>
  </cols>
  <sheetData>
    <row r="2" spans="2:10" ht="31.15" customHeight="1" x14ac:dyDescent="0.35">
      <c r="B2" s="87" t="s">
        <v>0</v>
      </c>
      <c r="C2" s="87"/>
      <c r="D2" s="87"/>
      <c r="E2" s="87"/>
      <c r="F2" s="87"/>
      <c r="H2" s="88" t="s">
        <v>1</v>
      </c>
      <c r="I2" s="89"/>
    </row>
    <row r="3" spans="2:10" ht="28.9" customHeight="1" x14ac:dyDescent="0.35">
      <c r="B3" s="39" t="s">
        <v>2</v>
      </c>
      <c r="C3" s="39" t="s">
        <v>3</v>
      </c>
      <c r="D3" s="39" t="s">
        <v>4</v>
      </c>
      <c r="E3" s="39" t="s">
        <v>5</v>
      </c>
      <c r="F3" s="39" t="s">
        <v>6</v>
      </c>
      <c r="H3" s="39" t="s">
        <v>3</v>
      </c>
      <c r="I3" s="39" t="s">
        <v>7</v>
      </c>
    </row>
    <row r="4" spans="2:10" ht="28.15" customHeight="1" x14ac:dyDescent="0.35">
      <c r="B4" s="80"/>
      <c r="C4" s="60" t="s">
        <v>8</v>
      </c>
      <c r="D4" s="33" t="s">
        <v>9</v>
      </c>
      <c r="E4" s="90">
        <v>270</v>
      </c>
      <c r="F4" s="57" t="s">
        <v>10</v>
      </c>
      <c r="H4" s="2" t="s">
        <v>11</v>
      </c>
      <c r="I4" s="95" t="s">
        <v>12</v>
      </c>
      <c r="J4" s="62">
        <f>IF(I4="yes",1,0)</f>
        <v>0</v>
      </c>
    </row>
    <row r="5" spans="2:10" ht="28.15" customHeight="1" x14ac:dyDescent="0.35">
      <c r="B5" s="81" t="s">
        <v>13</v>
      </c>
      <c r="C5" s="60" t="s">
        <v>14</v>
      </c>
      <c r="D5" s="33" t="s">
        <v>15</v>
      </c>
      <c r="E5" s="90">
        <v>75</v>
      </c>
      <c r="F5" s="57"/>
      <c r="H5" s="2" t="s">
        <v>16</v>
      </c>
      <c r="I5" s="95" t="s">
        <v>12</v>
      </c>
      <c r="J5" s="62">
        <f t="shared" ref="J5:J14" si="0">IF(I5="yes",1,0)</f>
        <v>0</v>
      </c>
    </row>
    <row r="6" spans="2:10" ht="28.15" customHeight="1" x14ac:dyDescent="0.35">
      <c r="B6" s="82"/>
      <c r="C6" s="60" t="s">
        <v>17</v>
      </c>
      <c r="D6" s="33" t="s">
        <v>18</v>
      </c>
      <c r="E6" s="90">
        <v>137</v>
      </c>
      <c r="F6" s="57" t="s">
        <v>19</v>
      </c>
      <c r="H6" s="2" t="s">
        <v>20</v>
      </c>
      <c r="I6" s="95" t="s">
        <v>12</v>
      </c>
      <c r="J6" s="62">
        <f t="shared" si="0"/>
        <v>0</v>
      </c>
    </row>
    <row r="7" spans="2:10" ht="28.15" customHeight="1" x14ac:dyDescent="0.35">
      <c r="B7" s="82"/>
      <c r="C7" s="60" t="s">
        <v>21</v>
      </c>
      <c r="D7" s="33" t="s">
        <v>22</v>
      </c>
      <c r="E7" s="90">
        <v>810</v>
      </c>
      <c r="F7" s="57"/>
      <c r="H7" s="2" t="s">
        <v>23</v>
      </c>
      <c r="I7" s="95" t="s">
        <v>24</v>
      </c>
      <c r="J7" s="62">
        <f t="shared" si="0"/>
        <v>1</v>
      </c>
    </row>
    <row r="8" spans="2:10" ht="28.15" customHeight="1" x14ac:dyDescent="0.35">
      <c r="B8" s="82"/>
      <c r="C8" s="60" t="s">
        <v>25</v>
      </c>
      <c r="D8" s="33" t="s">
        <v>26</v>
      </c>
      <c r="E8" s="91">
        <v>3.6</v>
      </c>
      <c r="F8" s="57"/>
      <c r="H8" s="2" t="s">
        <v>27</v>
      </c>
      <c r="I8" s="95" t="s">
        <v>24</v>
      </c>
      <c r="J8" s="62">
        <f t="shared" si="0"/>
        <v>1</v>
      </c>
    </row>
    <row r="9" spans="2:10" ht="28.15" customHeight="1" x14ac:dyDescent="0.35">
      <c r="B9" s="82"/>
      <c r="C9" s="60" t="s">
        <v>28</v>
      </c>
      <c r="D9" s="33" t="s">
        <v>29</v>
      </c>
      <c r="E9" s="90">
        <v>56</v>
      </c>
      <c r="F9" s="57" t="s">
        <v>30</v>
      </c>
      <c r="H9" s="2" t="s">
        <v>31</v>
      </c>
      <c r="I9" s="95" t="s">
        <v>24</v>
      </c>
      <c r="J9" s="62">
        <f t="shared" si="0"/>
        <v>1</v>
      </c>
    </row>
    <row r="10" spans="2:10" ht="28.15" customHeight="1" x14ac:dyDescent="0.35">
      <c r="B10" s="82"/>
      <c r="C10" s="60" t="s">
        <v>32</v>
      </c>
      <c r="D10" s="33" t="s">
        <v>22</v>
      </c>
      <c r="E10" s="90">
        <v>26</v>
      </c>
      <c r="F10" s="57"/>
      <c r="H10" s="2" t="s">
        <v>33</v>
      </c>
      <c r="I10" s="95" t="s">
        <v>24</v>
      </c>
      <c r="J10" s="62">
        <f t="shared" si="0"/>
        <v>1</v>
      </c>
    </row>
    <row r="11" spans="2:10" ht="28.15" customHeight="1" x14ac:dyDescent="0.35">
      <c r="B11" s="82"/>
      <c r="C11" s="61" t="s">
        <v>34</v>
      </c>
      <c r="D11" s="33" t="s">
        <v>35</v>
      </c>
      <c r="E11" s="90">
        <v>30</v>
      </c>
      <c r="F11" s="57" t="s">
        <v>36</v>
      </c>
      <c r="H11" s="2" t="s">
        <v>37</v>
      </c>
      <c r="I11" s="95" t="s">
        <v>24</v>
      </c>
      <c r="J11" s="62">
        <f t="shared" si="0"/>
        <v>1</v>
      </c>
    </row>
    <row r="12" spans="2:10" ht="28.15" customHeight="1" x14ac:dyDescent="0.35">
      <c r="B12" s="82"/>
      <c r="C12" s="61" t="s">
        <v>38</v>
      </c>
      <c r="D12" s="33" t="s">
        <v>18</v>
      </c>
      <c r="E12" s="90">
        <v>2.5</v>
      </c>
      <c r="F12" s="57"/>
      <c r="H12" s="2" t="s">
        <v>39</v>
      </c>
      <c r="I12" s="95" t="s">
        <v>24</v>
      </c>
      <c r="J12" s="62">
        <f t="shared" si="0"/>
        <v>1</v>
      </c>
    </row>
    <row r="13" spans="2:10" ht="28.15" customHeight="1" x14ac:dyDescent="0.35">
      <c r="B13" s="82"/>
      <c r="C13" s="61" t="s">
        <v>40</v>
      </c>
      <c r="D13" s="33" t="s">
        <v>18</v>
      </c>
      <c r="E13" s="90">
        <v>1</v>
      </c>
      <c r="F13" s="57"/>
      <c r="H13" s="2" t="s">
        <v>41</v>
      </c>
      <c r="I13" s="95" t="s">
        <v>24</v>
      </c>
      <c r="J13" s="62">
        <f t="shared" si="0"/>
        <v>1</v>
      </c>
    </row>
    <row r="14" spans="2:10" ht="28.15" customHeight="1" x14ac:dyDescent="0.35">
      <c r="B14" s="83"/>
      <c r="C14" s="60" t="s">
        <v>42</v>
      </c>
      <c r="D14" s="33" t="s">
        <v>43</v>
      </c>
      <c r="E14" s="90">
        <f>12000*3.8</f>
        <v>45600</v>
      </c>
      <c r="F14" s="57" t="s">
        <v>44</v>
      </c>
      <c r="H14" s="2" t="s">
        <v>45</v>
      </c>
      <c r="I14" s="95" t="s">
        <v>24</v>
      </c>
      <c r="J14" s="62">
        <f t="shared" si="0"/>
        <v>1</v>
      </c>
    </row>
    <row r="15" spans="2:10" ht="28.15" customHeight="1" x14ac:dyDescent="0.35">
      <c r="B15" s="84" t="s">
        <v>46</v>
      </c>
      <c r="C15" s="60" t="s">
        <v>47</v>
      </c>
      <c r="D15" s="33" t="s">
        <v>15</v>
      </c>
      <c r="E15" s="90">
        <v>3</v>
      </c>
      <c r="F15" s="57" t="s">
        <v>48</v>
      </c>
      <c r="I15" s="12"/>
    </row>
    <row r="16" spans="2:10" ht="28.15" customHeight="1" x14ac:dyDescent="0.35">
      <c r="B16" s="84"/>
      <c r="C16" s="60" t="s">
        <v>49</v>
      </c>
      <c r="D16" s="33" t="s">
        <v>15</v>
      </c>
      <c r="E16" s="90">
        <v>6</v>
      </c>
      <c r="F16" s="57" t="s">
        <v>50</v>
      </c>
      <c r="I16" s="12"/>
    </row>
    <row r="17" spans="2:9" ht="28.15" customHeight="1" x14ac:dyDescent="0.35">
      <c r="B17" s="84"/>
      <c r="C17" s="60" t="s">
        <v>51</v>
      </c>
      <c r="D17" s="33" t="s">
        <v>52</v>
      </c>
      <c r="E17" s="92">
        <v>2.298</v>
      </c>
      <c r="F17" s="57"/>
      <c r="I17" s="12"/>
    </row>
    <row r="18" spans="2:9" ht="28.15" customHeight="1" x14ac:dyDescent="0.35">
      <c r="B18" s="84"/>
      <c r="C18" s="61" t="s">
        <v>53</v>
      </c>
      <c r="D18" s="33" t="s">
        <v>18</v>
      </c>
      <c r="E18" s="90">
        <v>250</v>
      </c>
      <c r="F18" s="57"/>
      <c r="I18" s="12"/>
    </row>
    <row r="19" spans="2:9" ht="28.15" customHeight="1" x14ac:dyDescent="0.35">
      <c r="B19" s="85" t="s">
        <v>54</v>
      </c>
      <c r="C19" s="60" t="s">
        <v>55</v>
      </c>
      <c r="D19" s="33" t="s">
        <v>35</v>
      </c>
      <c r="E19" s="90">
        <v>202500</v>
      </c>
      <c r="F19" s="57"/>
      <c r="I19" s="12"/>
    </row>
    <row r="20" spans="2:9" ht="28.15" customHeight="1" x14ac:dyDescent="0.35">
      <c r="B20" s="85"/>
      <c r="C20" s="60" t="s">
        <v>56</v>
      </c>
      <c r="D20" s="33" t="s">
        <v>18</v>
      </c>
      <c r="E20" s="91">
        <v>0.15</v>
      </c>
      <c r="F20" s="57"/>
      <c r="I20" s="12"/>
    </row>
    <row r="21" spans="2:9" ht="28.15" customHeight="1" x14ac:dyDescent="0.35">
      <c r="B21" s="85"/>
      <c r="C21" s="61" t="s">
        <v>57</v>
      </c>
      <c r="D21" s="33" t="s">
        <v>35</v>
      </c>
      <c r="E21" s="90">
        <v>25750</v>
      </c>
      <c r="F21" s="57" t="s">
        <v>58</v>
      </c>
      <c r="I21" s="12"/>
    </row>
    <row r="22" spans="2:9" ht="28.15" customHeight="1" x14ac:dyDescent="0.35">
      <c r="B22" s="86" t="s">
        <v>59</v>
      </c>
      <c r="C22" s="61" t="s">
        <v>60</v>
      </c>
      <c r="D22" s="33" t="s">
        <v>15</v>
      </c>
      <c r="E22" s="90">
        <v>3</v>
      </c>
      <c r="F22" s="57"/>
      <c r="I22" s="12"/>
    </row>
    <row r="23" spans="2:9" ht="28.15" customHeight="1" x14ac:dyDescent="0.35">
      <c r="B23" s="86" t="s">
        <v>61</v>
      </c>
      <c r="C23" s="61" t="s">
        <v>62</v>
      </c>
      <c r="D23" s="33" t="s">
        <v>63</v>
      </c>
      <c r="E23" s="90">
        <v>1000000</v>
      </c>
      <c r="F23" s="57"/>
      <c r="I23" s="12"/>
    </row>
    <row r="24" spans="2:9" ht="28.15" customHeight="1" x14ac:dyDescent="0.35">
      <c r="B24" s="84" t="s">
        <v>64</v>
      </c>
      <c r="C24" s="61" t="s">
        <v>65</v>
      </c>
      <c r="D24" s="33" t="s">
        <v>15</v>
      </c>
      <c r="E24" s="90">
        <v>14</v>
      </c>
      <c r="F24" s="57"/>
      <c r="I24" s="12"/>
    </row>
    <row r="25" spans="2:9" ht="28.15" customHeight="1" x14ac:dyDescent="0.35">
      <c r="B25" s="84"/>
      <c r="C25" s="61" t="s">
        <v>66</v>
      </c>
      <c r="D25" s="33" t="s">
        <v>15</v>
      </c>
      <c r="E25" s="90">
        <v>53</v>
      </c>
      <c r="F25" s="57"/>
      <c r="I25" s="12"/>
    </row>
    <row r="26" spans="2:9" ht="28.15" customHeight="1" x14ac:dyDescent="0.35">
      <c r="B26" s="84" t="s">
        <v>67</v>
      </c>
      <c r="C26" s="61" t="s">
        <v>68</v>
      </c>
      <c r="D26" s="33" t="s">
        <v>69</v>
      </c>
      <c r="E26" s="90">
        <v>88</v>
      </c>
      <c r="F26" s="57"/>
      <c r="I26" s="12"/>
    </row>
    <row r="27" spans="2:9" ht="28.15" customHeight="1" x14ac:dyDescent="0.35">
      <c r="B27" s="84"/>
      <c r="C27" s="61" t="s">
        <v>27</v>
      </c>
      <c r="D27" s="33" t="s">
        <v>69</v>
      </c>
      <c r="E27" s="90">
        <v>1</v>
      </c>
      <c r="F27" s="57"/>
      <c r="I27" s="12"/>
    </row>
    <row r="28" spans="2:9" ht="28.15" customHeight="1" x14ac:dyDescent="0.35">
      <c r="B28" s="84"/>
      <c r="C28" s="61" t="s">
        <v>31</v>
      </c>
      <c r="D28" s="33" t="s">
        <v>69</v>
      </c>
      <c r="E28" s="91">
        <v>0.6</v>
      </c>
      <c r="F28" s="57"/>
      <c r="I28" s="12"/>
    </row>
    <row r="29" spans="2:9" ht="28.15" customHeight="1" x14ac:dyDescent="0.35">
      <c r="B29" s="84"/>
      <c r="C29" s="61" t="s">
        <v>33</v>
      </c>
      <c r="D29" s="33" t="s">
        <v>69</v>
      </c>
      <c r="E29" s="90">
        <v>4</v>
      </c>
      <c r="F29" s="57"/>
      <c r="I29" s="12"/>
    </row>
    <row r="30" spans="2:9" ht="28.15" customHeight="1" x14ac:dyDescent="0.35">
      <c r="B30" s="84"/>
      <c r="C30" s="61" t="s">
        <v>37</v>
      </c>
      <c r="D30" s="33" t="s">
        <v>69</v>
      </c>
      <c r="E30" s="90">
        <v>5</v>
      </c>
      <c r="F30" s="57"/>
    </row>
    <row r="31" spans="2:9" ht="28.15" customHeight="1" x14ac:dyDescent="0.35">
      <c r="B31" s="84"/>
      <c r="C31" s="61" t="s">
        <v>39</v>
      </c>
      <c r="D31" s="33" t="s">
        <v>69</v>
      </c>
      <c r="E31" s="91">
        <v>0.6</v>
      </c>
      <c r="F31" s="57"/>
    </row>
    <row r="32" spans="2:9" ht="28.15" customHeight="1" x14ac:dyDescent="0.35">
      <c r="B32" s="84"/>
      <c r="C32" s="61" t="s">
        <v>41</v>
      </c>
      <c r="D32" s="33" t="s">
        <v>69</v>
      </c>
      <c r="E32" s="91">
        <v>0.6</v>
      </c>
      <c r="F32" s="57"/>
    </row>
    <row r="33" spans="2:6" ht="27.6" customHeight="1" x14ac:dyDescent="0.35">
      <c r="B33" s="84" t="s">
        <v>70</v>
      </c>
      <c r="C33" s="60" t="s">
        <v>71</v>
      </c>
      <c r="D33" s="33" t="s">
        <v>18</v>
      </c>
      <c r="E33" s="90">
        <v>500</v>
      </c>
      <c r="F33" s="58" t="s">
        <v>72</v>
      </c>
    </row>
    <row r="34" spans="2:6" ht="27.6" customHeight="1" x14ac:dyDescent="0.35">
      <c r="B34" s="84"/>
      <c r="C34" s="60" t="s">
        <v>73</v>
      </c>
      <c r="D34" s="33" t="s">
        <v>74</v>
      </c>
      <c r="E34" s="90">
        <v>200</v>
      </c>
      <c r="F34" s="57" t="s">
        <v>75</v>
      </c>
    </row>
    <row r="35" spans="2:6" x14ac:dyDescent="0.35">
      <c r="B35" s="84"/>
      <c r="C35" s="60" t="s">
        <v>76</v>
      </c>
      <c r="D35" s="33" t="s">
        <v>74</v>
      </c>
      <c r="E35" s="90">
        <v>250</v>
      </c>
      <c r="F35" s="57" t="s">
        <v>75</v>
      </c>
    </row>
    <row r="37" spans="2:6" ht="18.75" thickBot="1" x14ac:dyDescent="0.4"/>
    <row r="38" spans="2:6" x14ac:dyDescent="0.35">
      <c r="C38" s="69" t="s">
        <v>77</v>
      </c>
      <c r="D38" s="70"/>
      <c r="E38" s="93">
        <v>0.35</v>
      </c>
    </row>
    <row r="39" spans="2:6" ht="18.75" thickBot="1" x14ac:dyDescent="0.4">
      <c r="C39" s="65" t="s">
        <v>78</v>
      </c>
      <c r="D39" s="66"/>
      <c r="E39" s="94">
        <v>0.25</v>
      </c>
    </row>
    <row r="40" spans="2:6" ht="23.45" customHeight="1" x14ac:dyDescent="0.35"/>
    <row r="41" spans="2:6" ht="22.15" customHeight="1" x14ac:dyDescent="0.35">
      <c r="C41" s="87" t="s">
        <v>79</v>
      </c>
      <c r="D41" s="87"/>
      <c r="E41" s="87"/>
      <c r="F41" s="87"/>
    </row>
    <row r="42" spans="2:6" ht="22.15" customHeight="1" x14ac:dyDescent="0.35">
      <c r="C42" s="39" t="s">
        <v>3</v>
      </c>
      <c r="D42" s="39" t="s">
        <v>4</v>
      </c>
      <c r="E42" s="39" t="s">
        <v>80</v>
      </c>
      <c r="F42" s="39" t="s">
        <v>6</v>
      </c>
    </row>
    <row r="43" spans="2:6" ht="22.15" customHeight="1" x14ac:dyDescent="0.35">
      <c r="B43" s="95" t="s">
        <v>24</v>
      </c>
      <c r="C43" s="78" t="s">
        <v>81</v>
      </c>
      <c r="D43" s="78" t="s">
        <v>82</v>
      </c>
      <c r="E43" s="76">
        <f>'ASSUMPTIONS 1'!I56</f>
        <v>19462041.581242993</v>
      </c>
      <c r="F43" s="59"/>
    </row>
    <row r="44" spans="2:6" ht="22.15" customHeight="1" x14ac:dyDescent="0.35">
      <c r="C44" s="78" t="s">
        <v>83</v>
      </c>
      <c r="D44" s="78" t="s">
        <v>82</v>
      </c>
      <c r="E44" s="76">
        <f>IF(B43="yes",'ASSUMPTIONS 1'!I70,0)</f>
        <v>16457770.5</v>
      </c>
      <c r="F44" s="59"/>
    </row>
    <row r="45" spans="2:6" ht="22.15" customHeight="1" x14ac:dyDescent="0.35">
      <c r="C45" s="78" t="s">
        <v>84</v>
      </c>
      <c r="D45" s="78" t="s">
        <v>82</v>
      </c>
      <c r="E45" s="76">
        <f>+E43-E44</f>
        <v>3004271.0812429935</v>
      </c>
      <c r="F45" s="59"/>
    </row>
    <row r="46" spans="2:6" ht="22.15" customHeight="1" x14ac:dyDescent="0.35">
      <c r="C46" s="78" t="s">
        <v>85</v>
      </c>
      <c r="D46" s="78" t="s">
        <v>86</v>
      </c>
      <c r="E46" s="76">
        <f>E43/E4</f>
        <v>72081.635486085157</v>
      </c>
      <c r="F46" s="59"/>
    </row>
    <row r="47" spans="2:6" ht="22.15" customHeight="1" x14ac:dyDescent="0.35">
      <c r="C47" s="78" t="s">
        <v>87</v>
      </c>
      <c r="D47" s="78" t="s">
        <v>86</v>
      </c>
      <c r="E47" s="77">
        <f>E45/E4</f>
        <v>11126.929930529606</v>
      </c>
      <c r="F47" s="59"/>
    </row>
    <row r="48" spans="2:6" ht="20.25" x14ac:dyDescent="0.35">
      <c r="C48" s="78" t="s">
        <v>88</v>
      </c>
      <c r="D48" s="78" t="s">
        <v>89</v>
      </c>
      <c r="E48" s="77">
        <f>E43/$E$5</f>
        <v>259493.88774990657</v>
      </c>
      <c r="F48" s="59"/>
    </row>
    <row r="49" spans="3:6" ht="20.25" x14ac:dyDescent="0.35">
      <c r="C49" s="78" t="s">
        <v>90</v>
      </c>
      <c r="D49" s="78" t="s">
        <v>89</v>
      </c>
      <c r="E49" s="77">
        <f>E45/$E$5</f>
        <v>40056.947749906576</v>
      </c>
      <c r="F49" s="59"/>
    </row>
  </sheetData>
  <sheetProtection algorithmName="SHA-512" hashValue="u/XPR7VOB6wgMwQlUjmBfYg/bQRMroAA1favPt0ydOUvOc8pTqDSGfUPabwB+PZee0Uwny9hLWCy+Jg3OOOjyg==" saltValue="Fl87/2qxAaZOPU6N3GcPVw==" spinCount="100000" sheet="1" objects="1" scenarios="1"/>
  <mergeCells count="11">
    <mergeCell ref="B2:F2"/>
    <mergeCell ref="B15:B18"/>
    <mergeCell ref="H2:I2"/>
    <mergeCell ref="B5:B14"/>
    <mergeCell ref="C38:D38"/>
    <mergeCell ref="C41:F41"/>
    <mergeCell ref="B19:B21"/>
    <mergeCell ref="B24:B25"/>
    <mergeCell ref="B26:B32"/>
    <mergeCell ref="B33:B35"/>
    <mergeCell ref="C39:D39"/>
  </mergeCells>
  <dataValidations count="1">
    <dataValidation type="list" allowBlank="1" showInputMessage="1" showErrorMessage="1" sqref="I4:I14" xr:uid="{856055F5-06F7-44C7-874A-70E4E8283245}">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58E7222-F970-4B35-8A8E-934D9865D11E}">
          <x14:formula1>
            <xm:f>'ASSUMPTIONS 2'!$C$59:$C$60</xm:f>
          </x14:formula1>
          <xm:sqref>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8A19B-57F7-4E16-ABCF-15293EC4E303}">
  <dimension ref="A3:U74"/>
  <sheetViews>
    <sheetView zoomScale="55" zoomScaleNormal="55" workbookViewId="0">
      <pane ySplit="4" topLeftCell="A17" activePane="bottomLeft" state="frozen"/>
      <selection pane="bottomLeft" activeCell="J53" sqref="J53"/>
    </sheetView>
  </sheetViews>
  <sheetFormatPr defaultColWidth="8.796875" defaultRowHeight="15" x14ac:dyDescent="0.35"/>
  <cols>
    <col min="1" max="1" width="8.796875" style="1"/>
    <col min="2" max="2" width="46.69921875" style="1" customWidth="1"/>
    <col min="3" max="3" width="32.59765625" style="1" customWidth="1"/>
    <col min="4" max="4" width="18.09765625" style="1" customWidth="1"/>
    <col min="5" max="5" width="12.796875" style="1" customWidth="1"/>
    <col min="6" max="6" width="12.796875" style="6" customWidth="1"/>
    <col min="7" max="7" width="15.296875" style="1" customWidth="1"/>
    <col min="8" max="8" width="11.09765625" style="1" customWidth="1"/>
    <col min="9" max="9" width="20.3984375" style="6" customWidth="1"/>
    <col min="10" max="10" width="85.296875" style="1" customWidth="1"/>
    <col min="11" max="11" width="14" style="1" customWidth="1"/>
    <col min="12" max="12" width="18.296875" style="1" customWidth="1"/>
    <col min="13" max="13" width="10.69921875" style="1" customWidth="1"/>
    <col min="14" max="15" width="8.796875" style="1"/>
    <col min="16" max="16" width="32.3984375" style="1" customWidth="1"/>
    <col min="17" max="17" width="26.59765625" style="1" customWidth="1"/>
    <col min="18" max="18" width="25" style="1" customWidth="1"/>
    <col min="19" max="19" width="23.69921875" style="1" customWidth="1"/>
    <col min="20" max="20" width="33.796875" style="1" customWidth="1"/>
    <col min="21" max="21" width="40.09765625" style="1" customWidth="1"/>
    <col min="22" max="16384" width="8.796875" style="1"/>
  </cols>
  <sheetData>
    <row r="3" spans="1:15" ht="45" customHeight="1" x14ac:dyDescent="0.35">
      <c r="A3" s="71" t="s">
        <v>91</v>
      </c>
      <c r="B3" s="71"/>
      <c r="C3" s="71"/>
      <c r="D3" s="71"/>
      <c r="E3" s="71"/>
      <c r="F3" s="71"/>
      <c r="G3" s="71"/>
      <c r="H3" s="71"/>
      <c r="I3" s="71"/>
      <c r="J3" s="71"/>
      <c r="K3" s="71"/>
      <c r="L3" s="71"/>
      <c r="M3" s="71"/>
    </row>
    <row r="4" spans="1:15" ht="41.45" customHeight="1" x14ac:dyDescent="0.35">
      <c r="A4" s="13" t="s">
        <v>92</v>
      </c>
      <c r="B4" s="13" t="s">
        <v>3</v>
      </c>
      <c r="C4" s="13" t="s">
        <v>93</v>
      </c>
      <c r="D4" s="13" t="s">
        <v>4</v>
      </c>
      <c r="E4" s="13" t="s">
        <v>5</v>
      </c>
      <c r="F4" s="20" t="s">
        <v>94</v>
      </c>
      <c r="G4" s="16" t="s">
        <v>95</v>
      </c>
      <c r="H4" s="16" t="s">
        <v>96</v>
      </c>
      <c r="I4" s="20" t="s">
        <v>97</v>
      </c>
      <c r="J4" s="13" t="s">
        <v>6</v>
      </c>
      <c r="K4" s="13" t="s">
        <v>98</v>
      </c>
      <c r="L4" s="13" t="s">
        <v>99</v>
      </c>
      <c r="M4" s="13" t="s">
        <v>100</v>
      </c>
    </row>
    <row r="5" spans="1:15" ht="30" customHeight="1" x14ac:dyDescent="0.35">
      <c r="A5" s="2">
        <v>1</v>
      </c>
      <c r="B5" s="2" t="s">
        <v>101</v>
      </c>
      <c r="C5" s="2" t="s">
        <v>102</v>
      </c>
      <c r="D5" s="2" t="s">
        <v>15</v>
      </c>
      <c r="E5" s="19">
        <f>CALCULATOR!$E$5</f>
        <v>75</v>
      </c>
      <c r="F5" s="19">
        <f>VLOOKUP(C5,'ASSUMPTIONS 2'!$I$4:$N$111,6,0)</f>
        <v>1640</v>
      </c>
      <c r="G5" s="19">
        <v>4</v>
      </c>
      <c r="H5" s="19">
        <f>ROUNDUP(E5/G5,0)</f>
        <v>19</v>
      </c>
      <c r="I5" s="19">
        <f>F5*H5</f>
        <v>31160</v>
      </c>
      <c r="J5" s="2" t="s">
        <v>103</v>
      </c>
      <c r="K5" s="2">
        <v>1</v>
      </c>
      <c r="L5" s="2">
        <v>2</v>
      </c>
      <c r="M5" s="2">
        <f>K5*L5</f>
        <v>2</v>
      </c>
    </row>
    <row r="6" spans="1:15" ht="30" customHeight="1" x14ac:dyDescent="0.35">
      <c r="A6" s="2">
        <v>2</v>
      </c>
      <c r="B6" s="2" t="s">
        <v>104</v>
      </c>
      <c r="C6" s="2" t="s">
        <v>105</v>
      </c>
      <c r="D6" s="2" t="s">
        <v>43</v>
      </c>
      <c r="E6" s="19">
        <f>CALCULATOR!E5*CALCULATOR!E14</f>
        <v>3420000</v>
      </c>
      <c r="F6" s="19">
        <f>VLOOKUP(C6,'ASSUMPTIONS 2'!$I$4:$N$111,6,0)</f>
        <v>5850</v>
      </c>
      <c r="G6" s="21">
        <v>75000</v>
      </c>
      <c r="H6" s="19">
        <f>ROUNDUP(E6/G6,0)</f>
        <v>46</v>
      </c>
      <c r="I6" s="19">
        <f>F6*H6</f>
        <v>269100</v>
      </c>
      <c r="J6" s="2" t="s">
        <v>106</v>
      </c>
      <c r="K6" s="2">
        <v>1</v>
      </c>
      <c r="L6" s="2">
        <v>6</v>
      </c>
      <c r="M6" s="2">
        <f t="shared" ref="M6:M27" si="0">K6*L6</f>
        <v>6</v>
      </c>
    </row>
    <row r="7" spans="1:15" ht="30" customHeight="1" x14ac:dyDescent="0.35">
      <c r="A7" s="2">
        <v>2</v>
      </c>
      <c r="B7" s="2" t="s">
        <v>107</v>
      </c>
      <c r="C7" s="17" t="s">
        <v>108</v>
      </c>
      <c r="D7" s="2" t="s">
        <v>18</v>
      </c>
      <c r="E7" s="19">
        <f>CALCULATOR!E5*CALCULATOR!E33*CALCULATOR!E16*CALCULATOR!J5+CALCULATOR!E5*(CALCULATOR!E6+25)*CALCULATOR!E15</f>
        <v>36450</v>
      </c>
      <c r="F7" s="19">
        <f>VLOOKUP(C7,'ASSUMPTIONS 2'!$I$4:$N$111,6,0)</f>
        <v>3250</v>
      </c>
      <c r="G7" s="21">
        <v>7500</v>
      </c>
      <c r="H7" s="19">
        <f>ROUNDUP(E7/G7,0)</f>
        <v>5</v>
      </c>
      <c r="I7" s="19">
        <f>F7*H7</f>
        <v>16250</v>
      </c>
      <c r="J7" s="2" t="s">
        <v>109</v>
      </c>
      <c r="K7" s="2">
        <v>1</v>
      </c>
      <c r="L7" s="2">
        <v>4</v>
      </c>
      <c r="M7" s="2">
        <f t="shared" si="0"/>
        <v>4</v>
      </c>
    </row>
    <row r="8" spans="1:15" ht="30" customHeight="1" x14ac:dyDescent="0.35">
      <c r="A8" s="72">
        <v>3</v>
      </c>
      <c r="B8" s="72" t="s">
        <v>110</v>
      </c>
      <c r="C8" s="17" t="s">
        <v>111</v>
      </c>
      <c r="D8" s="2" t="s">
        <v>112</v>
      </c>
      <c r="E8" s="19">
        <f>CALCULATOR!$E$5</f>
        <v>75</v>
      </c>
      <c r="F8" s="19">
        <f>VLOOKUP(C8,'ASSUMPTIONS 2'!$I$4:$N$111,6,0)</f>
        <v>13780</v>
      </c>
      <c r="G8" s="32">
        <v>0.5</v>
      </c>
      <c r="H8" s="19">
        <f>ROUNDUP(E8/G8,0)</f>
        <v>150</v>
      </c>
      <c r="I8" s="19">
        <f>F8*H8</f>
        <v>2067000</v>
      </c>
      <c r="J8" s="2" t="s">
        <v>113</v>
      </c>
      <c r="K8" s="2">
        <v>2</v>
      </c>
      <c r="L8" s="19">
        <v>8</v>
      </c>
      <c r="M8" s="2">
        <f t="shared" si="0"/>
        <v>16</v>
      </c>
    </row>
    <row r="9" spans="1:15" ht="30" customHeight="1" x14ac:dyDescent="0.35">
      <c r="A9" s="72"/>
      <c r="B9" s="72"/>
      <c r="C9" s="17" t="s">
        <v>111</v>
      </c>
      <c r="D9" s="2" t="s">
        <v>112</v>
      </c>
      <c r="E9" s="19">
        <f>CALCULATOR!$E$5</f>
        <v>75</v>
      </c>
      <c r="F9" s="19">
        <f>VLOOKUP(C9,'ASSUMPTIONS 2'!$I$4:$N$111,6,0)</f>
        <v>13780</v>
      </c>
      <c r="G9" s="32">
        <v>1</v>
      </c>
      <c r="H9" s="19">
        <f>ROUNDUP(E9/G9,0)</f>
        <v>75</v>
      </c>
      <c r="I9" s="19">
        <f>F9*H9</f>
        <v>1033500</v>
      </c>
      <c r="J9" s="2" t="s">
        <v>114</v>
      </c>
      <c r="K9" s="2"/>
      <c r="L9" s="2"/>
      <c r="M9" s="2"/>
    </row>
    <row r="10" spans="1:15" ht="30" customHeight="1" x14ac:dyDescent="0.35">
      <c r="A10" s="72"/>
      <c r="B10" s="72"/>
      <c r="C10" s="17" t="s">
        <v>115</v>
      </c>
      <c r="D10" s="2" t="s">
        <v>112</v>
      </c>
      <c r="E10" s="19">
        <f>E8-1</f>
        <v>74</v>
      </c>
      <c r="F10" s="19">
        <v>12500</v>
      </c>
      <c r="G10" s="19">
        <v>1</v>
      </c>
      <c r="H10" s="19"/>
      <c r="I10" s="19">
        <f>E10*F10</f>
        <v>925000</v>
      </c>
      <c r="J10" s="2" t="s">
        <v>116</v>
      </c>
      <c r="K10" s="2"/>
      <c r="L10" s="2"/>
      <c r="M10" s="2"/>
    </row>
    <row r="11" spans="1:15" ht="30" customHeight="1" x14ac:dyDescent="0.35">
      <c r="A11" s="72">
        <v>4</v>
      </c>
      <c r="B11" s="72" t="s">
        <v>117</v>
      </c>
      <c r="C11" s="2" t="s">
        <v>118</v>
      </c>
      <c r="D11" s="2" t="s">
        <v>119</v>
      </c>
      <c r="E11" s="19">
        <f>CALCULATOR!E5*(CALCULATOR!E11*(CALCULATOR!E12+CALCULATOR!E13))*CALCULATOR!J6</f>
        <v>0</v>
      </c>
      <c r="F11" s="19">
        <f>VLOOKUP(C11,'ASSUMPTIONS 2'!$I$4:$N$111,6,0)</f>
        <v>6550</v>
      </c>
      <c r="G11" s="19">
        <v>25</v>
      </c>
      <c r="H11" s="19">
        <f>E11/G11/'ASSUMPTIONS 2'!$D$10</f>
        <v>0</v>
      </c>
      <c r="I11" s="19">
        <f>F11*H11</f>
        <v>0</v>
      </c>
      <c r="J11" s="2" t="s">
        <v>120</v>
      </c>
      <c r="K11" s="2">
        <v>1</v>
      </c>
      <c r="L11" s="2">
        <v>2</v>
      </c>
      <c r="M11" s="2">
        <f t="shared" si="0"/>
        <v>2</v>
      </c>
    </row>
    <row r="12" spans="1:15" ht="30" customHeight="1" x14ac:dyDescent="0.35">
      <c r="A12" s="72"/>
      <c r="B12" s="72"/>
      <c r="C12" s="2" t="s">
        <v>121</v>
      </c>
      <c r="D12" s="2" t="s">
        <v>22</v>
      </c>
      <c r="E12" s="19">
        <f>$E$11*2.5</f>
        <v>0</v>
      </c>
      <c r="F12" s="19">
        <f>VLOOKUP(C12,'ASSUMPTIONS 2'!$I$4:$N$111,6,0)</f>
        <v>11150</v>
      </c>
      <c r="G12" s="19">
        <f>'ASSUMPTIONS 2'!D37*10</f>
        <v>100</v>
      </c>
      <c r="H12" s="19">
        <f>ROUNDUP(E12/G12/'ASSUMPTIONS 2'!$D$10,0)</f>
        <v>0</v>
      </c>
      <c r="I12" s="19">
        <f>F12*H12</f>
        <v>0</v>
      </c>
      <c r="J12" s="2"/>
      <c r="K12" s="2"/>
      <c r="L12" s="2"/>
      <c r="M12" s="2"/>
    </row>
    <row r="13" spans="1:15" ht="30" customHeight="1" x14ac:dyDescent="0.35">
      <c r="A13" s="72"/>
      <c r="B13" s="72"/>
      <c r="C13" s="2" t="s">
        <v>122</v>
      </c>
      <c r="D13" s="2" t="s">
        <v>22</v>
      </c>
      <c r="E13" s="19">
        <f>$E$11*2.5-E15</f>
        <v>0</v>
      </c>
      <c r="F13" s="19">
        <v>40</v>
      </c>
      <c r="G13" s="19"/>
      <c r="H13" s="19"/>
      <c r="I13" s="19">
        <f>E13*F13</f>
        <v>0</v>
      </c>
      <c r="J13" s="2"/>
      <c r="K13" s="2"/>
      <c r="L13" s="2"/>
      <c r="M13" s="2"/>
    </row>
    <row r="14" spans="1:15" ht="30" customHeight="1" x14ac:dyDescent="0.35">
      <c r="A14" s="72"/>
      <c r="B14" s="72"/>
      <c r="C14" s="2" t="s">
        <v>123</v>
      </c>
      <c r="D14" s="2" t="s">
        <v>22</v>
      </c>
      <c r="E14" s="19">
        <f>E11*0.22*CALCULATOR!J6</f>
        <v>0</v>
      </c>
      <c r="F14" s="19">
        <v>-20</v>
      </c>
      <c r="G14" s="19"/>
      <c r="H14" s="19"/>
      <c r="I14" s="19"/>
      <c r="J14" s="2" t="s">
        <v>124</v>
      </c>
      <c r="K14" s="2"/>
      <c r="L14" s="2"/>
      <c r="M14" s="2"/>
    </row>
    <row r="15" spans="1:15" ht="30" customHeight="1" x14ac:dyDescent="0.35">
      <c r="A15" s="72"/>
      <c r="B15" s="72"/>
      <c r="C15" s="17" t="s">
        <v>125</v>
      </c>
      <c r="D15" s="2" t="s">
        <v>119</v>
      </c>
      <c r="E15" s="19">
        <f>CALCULATOR!E5*(CALCULATOR!E11*CALCULATOR!E13)*CALCULATOR!J6</f>
        <v>0</v>
      </c>
      <c r="F15" s="19">
        <f>VLOOKUP(C15,'ASSUMPTIONS 2'!$I$4:$N$111,6,0)</f>
        <v>7750</v>
      </c>
      <c r="G15" s="19">
        <f>20*10</f>
        <v>200</v>
      </c>
      <c r="H15" s="19">
        <f>E15/G15</f>
        <v>0</v>
      </c>
      <c r="I15" s="19">
        <f>H15*F15</f>
        <v>0</v>
      </c>
      <c r="J15" s="2" t="s">
        <v>126</v>
      </c>
      <c r="K15" s="2">
        <v>1</v>
      </c>
      <c r="L15" s="2">
        <v>1</v>
      </c>
      <c r="M15" s="2">
        <f t="shared" si="0"/>
        <v>1</v>
      </c>
    </row>
    <row r="16" spans="1:15" ht="30" customHeight="1" x14ac:dyDescent="0.35">
      <c r="A16" s="72">
        <v>5</v>
      </c>
      <c r="B16" s="72" t="s">
        <v>127</v>
      </c>
      <c r="C16" s="17" t="s">
        <v>128</v>
      </c>
      <c r="D16" s="2" t="s">
        <v>18</v>
      </c>
      <c r="E16" s="19">
        <f>CALCULATOR!$E$5*CALCULATOR!E33*CALCULATOR!J5</f>
        <v>0</v>
      </c>
      <c r="F16" s="19">
        <f>VLOOKUP(C16,'ASSUMPTIONS 2'!$I$4:$N$111,6,0)</f>
        <v>8400</v>
      </c>
      <c r="G16" s="19">
        <v>20</v>
      </c>
      <c r="H16" s="19">
        <f>ROUNDUP(E16/G16/'ASSUMPTIONS 2'!$D$10,0)</f>
        <v>0</v>
      </c>
      <c r="I16" s="19">
        <f>F16*H16</f>
        <v>0</v>
      </c>
      <c r="J16" s="2" t="s">
        <v>129</v>
      </c>
      <c r="K16" s="2">
        <v>2</v>
      </c>
      <c r="L16" s="2">
        <v>2</v>
      </c>
      <c r="M16" s="2">
        <f t="shared" si="0"/>
        <v>4</v>
      </c>
      <c r="O16" s="1">
        <f>3.09/4</f>
        <v>0.77249999999999996</v>
      </c>
    </row>
    <row r="17" spans="1:13" ht="30" customHeight="1" x14ac:dyDescent="0.35">
      <c r="A17" s="72"/>
      <c r="B17" s="72"/>
      <c r="C17" s="17" t="s">
        <v>130</v>
      </c>
      <c r="D17" s="2" t="s">
        <v>112</v>
      </c>
      <c r="E17" s="19">
        <f>E16/CALCULATOR!E18*CALCULATOR!J5</f>
        <v>0</v>
      </c>
      <c r="F17" s="19">
        <f>VLOOKUP(C17,'ASSUMPTIONS 2'!$I$4:$N$111,6,0)</f>
        <v>8550</v>
      </c>
      <c r="G17" s="19">
        <v>1</v>
      </c>
      <c r="H17" s="19">
        <f>E17*G17/10</f>
        <v>0</v>
      </c>
      <c r="I17" s="19">
        <f>F17*H17</f>
        <v>0</v>
      </c>
      <c r="J17" s="2" t="s">
        <v>131</v>
      </c>
      <c r="K17" s="2">
        <v>1</v>
      </c>
      <c r="L17" s="2">
        <v>2</v>
      </c>
      <c r="M17" s="2">
        <f t="shared" si="0"/>
        <v>2</v>
      </c>
    </row>
    <row r="18" spans="1:13" ht="30" customHeight="1" x14ac:dyDescent="0.35">
      <c r="A18" s="72"/>
      <c r="B18" s="72"/>
      <c r="C18" s="2" t="s">
        <v>132</v>
      </c>
      <c r="D18" s="2" t="s">
        <v>18</v>
      </c>
      <c r="E18" s="19">
        <f>E16</f>
        <v>0</v>
      </c>
      <c r="F18" s="19">
        <f>'ASSUMPTIONS 2'!D29*10</f>
        <v>1750</v>
      </c>
      <c r="G18" s="19">
        <v>250</v>
      </c>
      <c r="H18" s="19">
        <f>ROUNDUP(E18/G18,0)</f>
        <v>0</v>
      </c>
      <c r="I18" s="19">
        <f>F18*H18</f>
        <v>0</v>
      </c>
      <c r="J18" s="2" t="s">
        <v>133</v>
      </c>
      <c r="K18" s="2"/>
      <c r="L18" s="2"/>
      <c r="M18" s="2"/>
    </row>
    <row r="19" spans="1:13" ht="30" customHeight="1" x14ac:dyDescent="0.35">
      <c r="A19" s="72"/>
      <c r="B19" s="72"/>
      <c r="C19" s="2" t="s">
        <v>134</v>
      </c>
      <c r="D19" s="2" t="s">
        <v>22</v>
      </c>
      <c r="E19" s="19">
        <f>E16*0.77*0.94*4</f>
        <v>0</v>
      </c>
      <c r="F19" s="19">
        <v>65</v>
      </c>
      <c r="G19" s="19"/>
      <c r="H19" s="19"/>
      <c r="I19" s="19">
        <f>E19*F19</f>
        <v>0</v>
      </c>
      <c r="J19" s="3" t="s">
        <v>135</v>
      </c>
      <c r="K19" s="2"/>
      <c r="L19" s="2"/>
      <c r="M19" s="2"/>
    </row>
    <row r="20" spans="1:13" ht="30" customHeight="1" x14ac:dyDescent="0.35">
      <c r="A20" s="72"/>
      <c r="B20" s="72"/>
      <c r="C20" s="17" t="s">
        <v>136</v>
      </c>
      <c r="D20" s="2" t="s">
        <v>22</v>
      </c>
      <c r="E20" s="19">
        <f>E17*1*CALCULATOR!J5</f>
        <v>0</v>
      </c>
      <c r="F20" s="19">
        <f>F13</f>
        <v>40</v>
      </c>
      <c r="H20" s="19"/>
      <c r="I20" s="19">
        <f>E20*F20</f>
        <v>0</v>
      </c>
      <c r="J20" s="2" t="s">
        <v>137</v>
      </c>
      <c r="K20" s="2"/>
      <c r="L20" s="2"/>
      <c r="M20" s="2"/>
    </row>
    <row r="21" spans="1:13" ht="30" customHeight="1" x14ac:dyDescent="0.35">
      <c r="A21" s="72">
        <v>6</v>
      </c>
      <c r="B21" s="72" t="s">
        <v>138</v>
      </c>
      <c r="C21" s="2" t="s">
        <v>139</v>
      </c>
      <c r="D21" s="2" t="s">
        <v>35</v>
      </c>
      <c r="E21" s="19">
        <f>CALCULATOR!E19*CALCULATOR!J4</f>
        <v>0</v>
      </c>
      <c r="F21" s="19">
        <f>VLOOKUP(C21,'ASSUMPTIONS 2'!$I$4:$N$111,6,0)</f>
        <v>9850</v>
      </c>
      <c r="G21" s="19">
        <v>120</v>
      </c>
      <c r="H21" s="19">
        <f>ROUNDUP(E21/G21/'ASSUMPTIONS 2'!D10,0)</f>
        <v>0</v>
      </c>
      <c r="I21" s="19">
        <f>H21*F21</f>
        <v>0</v>
      </c>
      <c r="J21" s="2" t="s">
        <v>140</v>
      </c>
      <c r="K21" s="2">
        <v>3</v>
      </c>
      <c r="L21" s="2">
        <v>1</v>
      </c>
      <c r="M21" s="2">
        <f t="shared" si="0"/>
        <v>3</v>
      </c>
    </row>
    <row r="22" spans="1:13" ht="30" customHeight="1" x14ac:dyDescent="0.35">
      <c r="A22" s="72"/>
      <c r="B22" s="72"/>
      <c r="C22" s="2" t="s">
        <v>141</v>
      </c>
      <c r="D22" s="2" t="s">
        <v>119</v>
      </c>
      <c r="E22" s="19">
        <f>(E21*CALCULATOR!E20-E15)*CALCULATOR!J4</f>
        <v>0</v>
      </c>
      <c r="F22" s="19">
        <f>VLOOKUP(C22,'ASSUMPTIONS 2'!I16:N62,6,0)</f>
        <v>18150</v>
      </c>
      <c r="G22" s="19">
        <v>30</v>
      </c>
      <c r="H22" s="19">
        <f>ROUNDUP(E22/G22/'ASSUMPTIONS 2'!$D$10,0)</f>
        <v>0</v>
      </c>
      <c r="I22" s="19">
        <f>H22*F22</f>
        <v>0</v>
      </c>
      <c r="J22" s="2" t="s">
        <v>142</v>
      </c>
      <c r="K22" s="2">
        <v>2</v>
      </c>
      <c r="L22" s="2">
        <v>1</v>
      </c>
      <c r="M22" s="2">
        <f t="shared" si="0"/>
        <v>2</v>
      </c>
    </row>
    <row r="23" spans="1:13" ht="30" customHeight="1" x14ac:dyDescent="0.35">
      <c r="A23" s="72"/>
      <c r="B23" s="72"/>
      <c r="C23" s="2" t="s">
        <v>122</v>
      </c>
      <c r="D23" s="2" t="s">
        <v>22</v>
      </c>
      <c r="E23" s="19">
        <f>E22*1.8</f>
        <v>0</v>
      </c>
      <c r="F23" s="19">
        <v>60</v>
      </c>
      <c r="G23" s="19"/>
      <c r="H23" s="19"/>
      <c r="I23" s="19">
        <f>E23*F23</f>
        <v>0</v>
      </c>
      <c r="J23" s="2"/>
      <c r="K23" s="2"/>
      <c r="L23" s="2"/>
      <c r="M23" s="2"/>
    </row>
    <row r="24" spans="1:13" ht="30" customHeight="1" x14ac:dyDescent="0.35">
      <c r="A24" s="72">
        <v>7</v>
      </c>
      <c r="B24" s="72" t="s">
        <v>143</v>
      </c>
      <c r="C24" s="2" t="s">
        <v>144</v>
      </c>
      <c r="D24" s="2" t="s">
        <v>112</v>
      </c>
      <c r="E24" s="19">
        <v>1</v>
      </c>
      <c r="F24" s="19">
        <f>VLOOKUP(C24,'ASSUMPTIONS 2'!$I$4:$N$111,6,0)</f>
        <v>11250</v>
      </c>
      <c r="G24" s="19">
        <v>20</v>
      </c>
      <c r="H24" s="19">
        <f>E24*G24</f>
        <v>20</v>
      </c>
      <c r="I24" s="19">
        <f>H24*F24</f>
        <v>225000</v>
      </c>
      <c r="J24" s="72" t="s">
        <v>145</v>
      </c>
      <c r="K24" s="2">
        <v>1</v>
      </c>
      <c r="L24" s="2">
        <v>4</v>
      </c>
      <c r="M24" s="2">
        <f t="shared" si="0"/>
        <v>4</v>
      </c>
    </row>
    <row r="25" spans="1:13" ht="30" customHeight="1" x14ac:dyDescent="0.35">
      <c r="A25" s="72"/>
      <c r="B25" s="72"/>
      <c r="C25" s="2" t="s">
        <v>121</v>
      </c>
      <c r="D25" s="2" t="s">
        <v>22</v>
      </c>
      <c r="E25" s="19">
        <f>50*CALCULATOR!E22</f>
        <v>150</v>
      </c>
      <c r="F25" s="19">
        <f>VLOOKUP(C25,'ASSUMPTIONS 2'!$I$4:$N$111,6,0)</f>
        <v>11150</v>
      </c>
      <c r="G25" s="19">
        <f>'ASSUMPTIONS 2'!D37*10</f>
        <v>100</v>
      </c>
      <c r="H25" s="19">
        <f>ROUNDUP(E25/G25,0)</f>
        <v>2</v>
      </c>
      <c r="I25" s="19">
        <f>H25*F25</f>
        <v>22300</v>
      </c>
      <c r="J25" s="72"/>
      <c r="K25" s="2">
        <v>1</v>
      </c>
      <c r="L25" s="2">
        <v>1</v>
      </c>
      <c r="M25" s="2">
        <f t="shared" si="0"/>
        <v>1</v>
      </c>
    </row>
    <row r="26" spans="1:13" ht="30" customHeight="1" x14ac:dyDescent="0.35">
      <c r="A26" s="72"/>
      <c r="B26" s="72"/>
      <c r="C26" s="2" t="s">
        <v>122</v>
      </c>
      <c r="D26" s="2" t="s">
        <v>22</v>
      </c>
      <c r="E26" s="19">
        <f>50*CALCULATOR!E22</f>
        <v>150</v>
      </c>
      <c r="F26" s="19">
        <v>300</v>
      </c>
      <c r="G26" s="19"/>
      <c r="H26" s="19"/>
      <c r="I26" s="19">
        <f>E26*F26</f>
        <v>45000</v>
      </c>
      <c r="J26" s="72"/>
      <c r="K26" s="2"/>
      <c r="L26" s="2"/>
      <c r="M26" s="2"/>
    </row>
    <row r="27" spans="1:13" ht="30" customHeight="1" x14ac:dyDescent="0.35">
      <c r="A27" s="72">
        <v>8</v>
      </c>
      <c r="B27" s="72" t="s">
        <v>146</v>
      </c>
      <c r="C27" s="17" t="s">
        <v>147</v>
      </c>
      <c r="D27" s="2" t="s">
        <v>22</v>
      </c>
      <c r="E27" s="19">
        <f>CALCULATOR!E5*CALCULATOR!E6*(CALCULATOR!E7/CALCULATOR!E6)</f>
        <v>60750</v>
      </c>
      <c r="F27" s="19">
        <f>VLOOKUP(C27,'ASSUMPTIONS 2'!$I$4:$N$111,6,0)</f>
        <v>13090</v>
      </c>
      <c r="G27" s="19">
        <f>2*137*5.91</f>
        <v>1619.3400000000001</v>
      </c>
      <c r="H27" s="19">
        <f>E27/G27</f>
        <v>37.515284004594463</v>
      </c>
      <c r="I27" s="19">
        <f>F27*H27</f>
        <v>491075.06762014155</v>
      </c>
      <c r="J27" s="3" t="s">
        <v>148</v>
      </c>
      <c r="K27" s="2">
        <v>1</v>
      </c>
      <c r="L27" s="2">
        <v>6</v>
      </c>
      <c r="M27" s="2">
        <f t="shared" si="0"/>
        <v>6</v>
      </c>
    </row>
    <row r="28" spans="1:13" ht="30" customHeight="1" x14ac:dyDescent="0.35">
      <c r="A28" s="72"/>
      <c r="B28" s="72"/>
      <c r="C28" s="17" t="s">
        <v>147</v>
      </c>
      <c r="D28" s="2" t="s">
        <v>22</v>
      </c>
      <c r="E28" s="79">
        <f>CALCULATOR!E5*CALCULATOR!E10+CALCULATOR!E5*CALCULATOR!E8*CALCULATOR!E9</f>
        <v>17070</v>
      </c>
      <c r="F28" s="19">
        <f>VLOOKUP(C28,'ASSUMPTIONS 2'!$I$4:$N$111,6,0)</f>
        <v>13090</v>
      </c>
      <c r="G28" s="19">
        <v>1250</v>
      </c>
      <c r="H28" s="19">
        <f>E28/G28</f>
        <v>13.656000000000001</v>
      </c>
      <c r="I28" s="19">
        <f>F28*H28</f>
        <v>178757.04</v>
      </c>
      <c r="J28" s="3" t="s">
        <v>149</v>
      </c>
      <c r="K28" s="2"/>
      <c r="L28" s="2"/>
      <c r="M28" s="2"/>
    </row>
    <row r="29" spans="1:13" ht="30" customHeight="1" x14ac:dyDescent="0.35">
      <c r="A29" s="72">
        <v>8</v>
      </c>
      <c r="B29" s="72" t="s">
        <v>150</v>
      </c>
      <c r="C29" s="17" t="s">
        <v>151</v>
      </c>
      <c r="D29" s="2" t="s">
        <v>22</v>
      </c>
      <c r="E29" s="19">
        <f>SUM($E$27:$E$28)</f>
        <v>77820</v>
      </c>
      <c r="F29" s="19">
        <f>'ASSUMPTIONS 2'!D29</f>
        <v>175</v>
      </c>
      <c r="G29" s="19">
        <f>'ASSUMPTIONS 2'!D55/60</f>
        <v>7.3533333333333335</v>
      </c>
      <c r="H29" s="19">
        <f>(E29/26)*G29</f>
        <v>22009.092307692306</v>
      </c>
      <c r="I29" s="19">
        <f>F29*H29</f>
        <v>3851591.1538461535</v>
      </c>
      <c r="J29" s="3" t="s">
        <v>152</v>
      </c>
      <c r="K29" s="2"/>
      <c r="L29" s="2"/>
      <c r="M29" s="2"/>
    </row>
    <row r="30" spans="1:13" ht="30" customHeight="1" x14ac:dyDescent="0.35">
      <c r="A30" s="72"/>
      <c r="B30" s="72"/>
      <c r="C30" s="2" t="s">
        <v>122</v>
      </c>
      <c r="D30" s="2" t="s">
        <v>22</v>
      </c>
      <c r="E30" s="19">
        <f>SUM($E$27:$E$28)</f>
        <v>77820</v>
      </c>
      <c r="F30" s="19">
        <v>0</v>
      </c>
      <c r="G30" s="19"/>
      <c r="H30" s="19"/>
      <c r="I30" s="19">
        <f>E30*F30</f>
        <v>0</v>
      </c>
      <c r="J30" s="3" t="s">
        <v>153</v>
      </c>
      <c r="K30" s="2"/>
      <c r="L30" s="2"/>
      <c r="M30" s="2"/>
    </row>
    <row r="31" spans="1:13" ht="30" customHeight="1" x14ac:dyDescent="0.35">
      <c r="A31" s="2">
        <v>9</v>
      </c>
      <c r="B31" s="2" t="s">
        <v>154</v>
      </c>
      <c r="C31" s="2" t="s">
        <v>155</v>
      </c>
      <c r="D31" s="2" t="s">
        <v>35</v>
      </c>
      <c r="E31" s="19">
        <f>CALCULATOR!E33*6.5+20*15*CALCULATOR!E5</f>
        <v>25750</v>
      </c>
      <c r="F31" s="19">
        <f>VLOOKUP(C31,'ASSUMPTIONS 2'!$I$4:$N$111,6,0)</f>
        <v>6550</v>
      </c>
      <c r="G31" s="19">
        <v>150</v>
      </c>
      <c r="H31" s="19">
        <f>ROUNDUP(E31/G31/'ASSUMPTIONS 2'!D10,0)</f>
        <v>18</v>
      </c>
      <c r="I31" s="19">
        <f>H31*F31</f>
        <v>117900</v>
      </c>
      <c r="J31" s="2" t="s">
        <v>156</v>
      </c>
      <c r="K31" s="2"/>
      <c r="L31" s="2"/>
      <c r="M31" s="2"/>
    </row>
    <row r="32" spans="1:13" ht="28.9" customHeight="1" x14ac:dyDescent="0.35">
      <c r="A32" s="2">
        <v>10</v>
      </c>
      <c r="B32" s="2" t="s">
        <v>157</v>
      </c>
      <c r="C32" s="2"/>
      <c r="D32" s="2" t="s">
        <v>35</v>
      </c>
      <c r="E32" s="19">
        <f>E31</f>
        <v>25750</v>
      </c>
      <c r="F32" s="19">
        <v>3</v>
      </c>
      <c r="G32" s="19"/>
      <c r="H32" s="19"/>
      <c r="I32" s="19">
        <f>E32*F32</f>
        <v>77250</v>
      </c>
      <c r="J32" s="2"/>
      <c r="K32" s="2"/>
      <c r="L32" s="2"/>
      <c r="M32" s="2"/>
    </row>
    <row r="33" spans="1:13" ht="28.9" customHeight="1" x14ac:dyDescent="0.35">
      <c r="A33" s="72">
        <v>11</v>
      </c>
      <c r="B33" s="72" t="s">
        <v>158</v>
      </c>
      <c r="C33" s="2" t="s">
        <v>159</v>
      </c>
      <c r="D33" s="2" t="s">
        <v>112</v>
      </c>
      <c r="E33" s="19">
        <f>CALCULATOR!E24</f>
        <v>14</v>
      </c>
      <c r="F33" s="19">
        <f>15000</f>
        <v>15000</v>
      </c>
      <c r="G33" s="19"/>
      <c r="H33" s="19"/>
      <c r="I33" s="19">
        <f>E33*F33</f>
        <v>210000</v>
      </c>
      <c r="J33" s="2" t="s">
        <v>160</v>
      </c>
      <c r="K33" s="2"/>
      <c r="L33" s="2"/>
      <c r="M33" s="2"/>
    </row>
    <row r="34" spans="1:13" ht="28.9" customHeight="1" x14ac:dyDescent="0.35">
      <c r="A34" s="72"/>
      <c r="B34" s="72"/>
      <c r="C34" s="2" t="s">
        <v>161</v>
      </c>
      <c r="D34" s="2" t="s">
        <v>112</v>
      </c>
      <c r="E34" s="19">
        <f>CALCULATOR!E25</f>
        <v>53</v>
      </c>
      <c r="F34" s="19">
        <f>(10+10+8)*'ASSUMPTIONS 2'!D5</f>
        <v>2100</v>
      </c>
      <c r="G34" s="19"/>
      <c r="H34" s="19"/>
      <c r="I34" s="19">
        <f>E34*F34</f>
        <v>111300</v>
      </c>
      <c r="J34" s="3" t="s">
        <v>162</v>
      </c>
      <c r="K34" s="2"/>
      <c r="L34" s="2"/>
      <c r="M34" s="2"/>
    </row>
    <row r="35" spans="1:13" ht="28.9" customHeight="1" x14ac:dyDescent="0.35">
      <c r="A35" s="72"/>
      <c r="B35" s="72"/>
      <c r="C35" s="3" t="s">
        <v>163</v>
      </c>
      <c r="D35" s="2" t="s">
        <v>112</v>
      </c>
      <c r="E35" s="19">
        <f>IF(AND('ASSUMPTIONS 2'!$G$45=1, 'ASSUMPTIONS 2'!$H$45=1), 1, 0)</f>
        <v>0</v>
      </c>
      <c r="F35" s="19">
        <v>100000</v>
      </c>
      <c r="G35" s="19"/>
      <c r="H35" s="19">
        <v>2</v>
      </c>
      <c r="I35" s="19">
        <f>E35*F35*H35</f>
        <v>0</v>
      </c>
      <c r="J35" s="2"/>
      <c r="K35" s="2"/>
      <c r="L35" s="2"/>
      <c r="M35" s="2"/>
    </row>
    <row r="36" spans="1:13" ht="28.9" customHeight="1" x14ac:dyDescent="0.35">
      <c r="A36" s="72"/>
      <c r="B36" s="72"/>
      <c r="C36" s="3" t="s">
        <v>164</v>
      </c>
      <c r="D36" s="2" t="s">
        <v>112</v>
      </c>
      <c r="E36" s="19">
        <f>IF(AND('ASSUMPTIONS 2'!$G$46=1, 'ASSUMPTIONS 2'!$H$46=1), 1, 0)</f>
        <v>0</v>
      </c>
      <c r="F36" s="19">
        <v>45000</v>
      </c>
      <c r="G36" s="19"/>
      <c r="H36" s="19">
        <v>2</v>
      </c>
      <c r="I36" s="19">
        <f t="shared" ref="I36:I37" si="1">E36*F36*H36</f>
        <v>0</v>
      </c>
      <c r="J36" s="2"/>
      <c r="K36" s="2"/>
      <c r="L36" s="2"/>
      <c r="M36" s="2"/>
    </row>
    <row r="37" spans="1:13" ht="28.9" customHeight="1" x14ac:dyDescent="0.35">
      <c r="A37" s="72"/>
      <c r="B37" s="72"/>
      <c r="C37" s="2" t="s">
        <v>165</v>
      </c>
      <c r="D37" s="2" t="s">
        <v>112</v>
      </c>
      <c r="E37" s="19">
        <v>2</v>
      </c>
      <c r="F37" s="19">
        <v>30000</v>
      </c>
      <c r="G37" s="19"/>
      <c r="H37" s="19">
        <v>2</v>
      </c>
      <c r="I37" s="19">
        <f t="shared" si="1"/>
        <v>120000</v>
      </c>
      <c r="J37" s="2"/>
      <c r="K37" s="2"/>
      <c r="L37" s="2"/>
      <c r="M37" s="2">
        <f>SUM(M5:M36)</f>
        <v>53</v>
      </c>
    </row>
    <row r="38" spans="1:13" ht="28.9" customHeight="1" x14ac:dyDescent="0.35">
      <c r="A38" s="54">
        <v>12</v>
      </c>
      <c r="B38" s="54" t="s">
        <v>166</v>
      </c>
      <c r="C38" s="54"/>
      <c r="D38" s="54" t="s">
        <v>22</v>
      </c>
      <c r="E38" s="55"/>
      <c r="F38" s="55">
        <v>300</v>
      </c>
      <c r="G38" s="55"/>
      <c r="H38" s="55"/>
      <c r="I38" s="55">
        <f>F38*E38</f>
        <v>0</v>
      </c>
    </row>
    <row r="39" spans="1:13" ht="24" customHeight="1" x14ac:dyDescent="0.35">
      <c r="A39" s="73" t="s">
        <v>167</v>
      </c>
      <c r="B39" s="73"/>
      <c r="C39" s="73"/>
      <c r="D39" s="73"/>
      <c r="E39" s="73"/>
      <c r="F39" s="73"/>
      <c r="G39" s="73"/>
      <c r="H39" s="73"/>
      <c r="I39" s="34">
        <f>SUM(I5:I37)</f>
        <v>9792183.2614662945</v>
      </c>
    </row>
    <row r="42" spans="1:13" ht="20.25" x14ac:dyDescent="0.35">
      <c r="A42" s="25" t="s">
        <v>168</v>
      </c>
      <c r="B42" s="26"/>
      <c r="C42" s="26"/>
      <c r="D42" s="26"/>
      <c r="E42" s="26"/>
      <c r="I42" s="26"/>
      <c r="J42" s="27"/>
    </row>
    <row r="43" spans="1:13" ht="18" x14ac:dyDescent="0.35">
      <c r="A43" s="13" t="s">
        <v>92</v>
      </c>
      <c r="B43" s="13" t="s">
        <v>3</v>
      </c>
      <c r="C43" s="13" t="s">
        <v>4</v>
      </c>
      <c r="D43" s="13" t="s">
        <v>5</v>
      </c>
      <c r="E43" s="14" t="s">
        <v>169</v>
      </c>
      <c r="I43" s="13" t="s">
        <v>80</v>
      </c>
      <c r="J43" s="13" t="s">
        <v>6</v>
      </c>
    </row>
    <row r="44" spans="1:13" ht="18" x14ac:dyDescent="0.35">
      <c r="A44" s="2">
        <v>1</v>
      </c>
      <c r="B44" s="2" t="s">
        <v>170</v>
      </c>
      <c r="C44" s="2" t="s">
        <v>18</v>
      </c>
      <c r="D44" s="19">
        <f>CALCULATOR!E5*CALCULATOR!E33*2+CALCULATOR!E5*(10*20)</f>
        <v>90000</v>
      </c>
      <c r="E44" s="19">
        <v>7.5</v>
      </c>
      <c r="I44" s="19">
        <f t="shared" ref="I44:I49" si="2">D44*E44</f>
        <v>675000</v>
      </c>
      <c r="J44" s="2"/>
    </row>
    <row r="45" spans="1:13" ht="18" x14ac:dyDescent="0.35">
      <c r="A45" s="2">
        <v>2</v>
      </c>
      <c r="B45" s="2" t="s">
        <v>171</v>
      </c>
      <c r="C45" s="2" t="s">
        <v>172</v>
      </c>
      <c r="D45" s="19">
        <f>('ASSUMPTIONS 1'!H8+'ASSUMPTIONS 1'!H9)/5</f>
        <v>45</v>
      </c>
      <c r="E45" s="19">
        <v>1500</v>
      </c>
      <c r="I45" s="19">
        <f t="shared" si="2"/>
        <v>67500</v>
      </c>
      <c r="J45" s="2" t="s">
        <v>173</v>
      </c>
    </row>
    <row r="46" spans="1:13" ht="18" x14ac:dyDescent="0.35">
      <c r="A46" s="2">
        <v>3</v>
      </c>
      <c r="B46" s="2" t="s">
        <v>174</v>
      </c>
      <c r="C46" s="2" t="s">
        <v>175</v>
      </c>
      <c r="D46" s="19">
        <v>1</v>
      </c>
      <c r="E46" s="19">
        <v>200000</v>
      </c>
      <c r="I46" s="19">
        <f t="shared" si="2"/>
        <v>200000</v>
      </c>
      <c r="J46" s="2"/>
    </row>
    <row r="47" spans="1:13" ht="18" x14ac:dyDescent="0.35">
      <c r="A47" s="2">
        <v>3</v>
      </c>
      <c r="B47" s="2" t="s">
        <v>176</v>
      </c>
      <c r="C47" s="2" t="s">
        <v>175</v>
      </c>
      <c r="D47" s="56">
        <v>0.33</v>
      </c>
      <c r="E47" s="19">
        <f>E46</f>
        <v>200000</v>
      </c>
      <c r="I47" s="19">
        <f t="shared" si="2"/>
        <v>66000</v>
      </c>
      <c r="J47" s="2"/>
    </row>
    <row r="48" spans="1:13" ht="18" x14ac:dyDescent="0.35">
      <c r="A48" s="2">
        <v>3</v>
      </c>
      <c r="B48" s="2" t="s">
        <v>177</v>
      </c>
      <c r="C48" s="2" t="s">
        <v>172</v>
      </c>
      <c r="D48" s="19">
        <f>D45</f>
        <v>45</v>
      </c>
      <c r="E48" s="19">
        <v>15000</v>
      </c>
      <c r="I48" s="19">
        <f t="shared" si="2"/>
        <v>675000</v>
      </c>
      <c r="J48" s="2" t="s">
        <v>178</v>
      </c>
    </row>
    <row r="49" spans="1:21" ht="18" x14ac:dyDescent="0.35">
      <c r="A49" s="2">
        <v>4</v>
      </c>
      <c r="B49" s="2" t="s">
        <v>179</v>
      </c>
      <c r="C49" s="2" t="s">
        <v>175</v>
      </c>
      <c r="D49" s="24">
        <v>5.0000000000000001E-3</v>
      </c>
      <c r="E49" s="19">
        <f>'ASSUMPTIONS 1'!I39+SUM(I44:I48)</f>
        <v>11475683.261466295</v>
      </c>
      <c r="I49" s="19">
        <f t="shared" si="2"/>
        <v>57378.41630733147</v>
      </c>
      <c r="J49" s="15" t="s">
        <v>180</v>
      </c>
    </row>
    <row r="50" spans="1:21" ht="18" x14ac:dyDescent="0.35">
      <c r="A50" s="64" t="s">
        <v>181</v>
      </c>
      <c r="B50" s="64"/>
      <c r="C50" s="64"/>
      <c r="D50" s="64"/>
      <c r="E50" s="64"/>
      <c r="I50" s="29">
        <f>SUM(I44:I49)</f>
        <v>1740878.4163073315</v>
      </c>
    </row>
    <row r="52" spans="1:21" ht="18" x14ac:dyDescent="0.35">
      <c r="H52" s="1" t="s">
        <v>182</v>
      </c>
      <c r="I52" s="23">
        <f>I50+I39</f>
        <v>11533061.677773627</v>
      </c>
    </row>
    <row r="53" spans="1:21" ht="18" x14ac:dyDescent="0.35">
      <c r="H53" s="28" t="s">
        <v>183</v>
      </c>
      <c r="I53" s="23">
        <f>CALCULATOR!E38*(I52)</f>
        <v>4036571.5872207689</v>
      </c>
    </row>
    <row r="54" spans="1:21" ht="18" x14ac:dyDescent="0.35">
      <c r="I54" s="30">
        <f>+I53+I52</f>
        <v>15569633.264994396</v>
      </c>
    </row>
    <row r="55" spans="1:21" ht="18" x14ac:dyDescent="0.35">
      <c r="H55" s="28" t="s">
        <v>184</v>
      </c>
      <c r="I55" s="23">
        <f>I54*CALCULATOR!E39</f>
        <v>3892408.316248599</v>
      </c>
    </row>
    <row r="56" spans="1:21" ht="18" x14ac:dyDescent="0.35">
      <c r="I56" s="30">
        <f>+I55+I54</f>
        <v>19462041.581242993</v>
      </c>
    </row>
    <row r="58" spans="1:21" ht="18" x14ac:dyDescent="0.35">
      <c r="H58" s="37" t="s">
        <v>185</v>
      </c>
      <c r="I58" s="38">
        <f>I56/CALCULATOR!E5</f>
        <v>259493.88774990657</v>
      </c>
    </row>
    <row r="59" spans="1:21" ht="18.75" thickBot="1" x14ac:dyDescent="0.4"/>
    <row r="60" spans="1:21" ht="18.75" thickBot="1" x14ac:dyDescent="0.4">
      <c r="B60" s="13" t="s">
        <v>186</v>
      </c>
      <c r="C60" s="2"/>
      <c r="D60" s="13" t="s">
        <v>4</v>
      </c>
      <c r="E60" s="13" t="s">
        <v>5</v>
      </c>
      <c r="F60" s="14" t="s">
        <v>169</v>
      </c>
      <c r="H60" s="14" t="s">
        <v>187</v>
      </c>
      <c r="I60" s="13" t="s">
        <v>80</v>
      </c>
      <c r="P60" s="42" t="s">
        <v>188</v>
      </c>
      <c r="Q60" s="43" t="s">
        <v>189</v>
      </c>
      <c r="R60" s="43" t="s">
        <v>190</v>
      </c>
      <c r="S60" s="43" t="s">
        <v>191</v>
      </c>
      <c r="T60" s="43" t="s">
        <v>192</v>
      </c>
      <c r="U60" s="43" t="s">
        <v>193</v>
      </c>
    </row>
    <row r="61" spans="1:21" ht="19.5" thickTop="1" thickBot="1" x14ac:dyDescent="0.4">
      <c r="B61" s="2" t="s">
        <v>194</v>
      </c>
      <c r="C61" s="2" t="s">
        <v>195</v>
      </c>
      <c r="D61" s="2" t="s">
        <v>22</v>
      </c>
      <c r="E61" s="79">
        <f>E7*CALCULATOR!E17/1000+(CALCULATOR!E28/100)*$E$29</f>
        <v>550.68209999999999</v>
      </c>
      <c r="F61" s="19">
        <f>T63</f>
        <v>5000</v>
      </c>
      <c r="H61" s="19">
        <f>IF(CALCULATOR!$B$43="Yes", 1,0)</f>
        <v>1</v>
      </c>
      <c r="I61" s="22">
        <f>F61*E61*H61</f>
        <v>2753410.5</v>
      </c>
      <c r="P61" s="44" t="s">
        <v>196</v>
      </c>
      <c r="Q61" s="108">
        <v>0.88</v>
      </c>
      <c r="R61" s="109" t="s">
        <v>197</v>
      </c>
      <c r="S61" s="45">
        <v>0.98</v>
      </c>
      <c r="T61" s="109">
        <v>100</v>
      </c>
      <c r="U61" s="47">
        <v>0.86199999999999999</v>
      </c>
    </row>
    <row r="62" spans="1:21" ht="18.75" thickBot="1" x14ac:dyDescent="0.4">
      <c r="B62" s="2" t="s">
        <v>198</v>
      </c>
      <c r="C62" s="2"/>
      <c r="D62" s="2" t="s">
        <v>22</v>
      </c>
      <c r="E62" s="19">
        <f>(E14+E27+(CALCULATOR!E26/100)*$E$29)*CALCULATOR!J7</f>
        <v>129231.6</v>
      </c>
      <c r="F62" s="19">
        <f>T61</f>
        <v>100</v>
      </c>
      <c r="H62" s="19">
        <f>IF(CALCULATOR!$B$43="Yes", 1,0)</f>
        <v>1</v>
      </c>
      <c r="I62" s="22">
        <f t="shared" ref="I62:I68" si="3">F62*E62*H62</f>
        <v>12923160</v>
      </c>
      <c r="P62" s="48" t="s">
        <v>199</v>
      </c>
      <c r="Q62" s="108">
        <v>0.01</v>
      </c>
      <c r="R62" s="109" t="s">
        <v>197</v>
      </c>
      <c r="S62" s="49">
        <v>0.98</v>
      </c>
      <c r="T62" s="111">
        <v>1000</v>
      </c>
      <c r="U62" s="51">
        <v>0.01</v>
      </c>
    </row>
    <row r="63" spans="1:21" ht="18.75" thickBot="1" x14ac:dyDescent="0.4">
      <c r="B63" s="2" t="s">
        <v>200</v>
      </c>
      <c r="C63" s="2"/>
      <c r="D63" s="2" t="s">
        <v>22</v>
      </c>
      <c r="E63" s="2">
        <f>(CALCULATOR!E27/100)*$E$29*CALCULATOR!J8</f>
        <v>778.2</v>
      </c>
      <c r="F63" s="19">
        <f>T62</f>
        <v>1000</v>
      </c>
      <c r="H63" s="19">
        <f>IF(CALCULATOR!$B$43="Yes", 1,0)</f>
        <v>1</v>
      </c>
      <c r="I63" s="22">
        <f t="shared" si="3"/>
        <v>778200</v>
      </c>
      <c r="P63" s="44" t="s">
        <v>201</v>
      </c>
      <c r="Q63" s="110">
        <v>6.0000000000000001E-3</v>
      </c>
      <c r="R63" s="109" t="s">
        <v>197</v>
      </c>
      <c r="S63" s="45">
        <v>0.98</v>
      </c>
      <c r="T63" s="111">
        <v>5000</v>
      </c>
      <c r="U63" s="47">
        <v>6.0000000000000001E-3</v>
      </c>
    </row>
    <row r="64" spans="1:21" ht="18.75" thickBot="1" x14ac:dyDescent="0.4">
      <c r="B64" s="2" t="s">
        <v>202</v>
      </c>
      <c r="C64" s="2" t="s">
        <v>203</v>
      </c>
      <c r="D64" s="2" t="s">
        <v>22</v>
      </c>
      <c r="E64" s="19">
        <f>E6/1000*0.7*CALCULATOR!J13</f>
        <v>2394</v>
      </c>
      <c r="F64" s="19">
        <v>0</v>
      </c>
      <c r="H64" s="19">
        <f>IF(CALCULATOR!$B$43="Yes", 1,0)</f>
        <v>1</v>
      </c>
      <c r="I64" s="22">
        <f t="shared" si="3"/>
        <v>0</v>
      </c>
      <c r="P64" s="48" t="s">
        <v>204</v>
      </c>
      <c r="Q64" s="108">
        <v>0.04</v>
      </c>
      <c r="R64" s="109" t="s">
        <v>205</v>
      </c>
      <c r="S64" s="50" t="s">
        <v>206</v>
      </c>
      <c r="T64" s="109" t="s">
        <v>206</v>
      </c>
      <c r="U64" s="50" t="s">
        <v>206</v>
      </c>
    </row>
    <row r="65" spans="2:21" ht="18.75" thickBot="1" x14ac:dyDescent="0.4">
      <c r="B65" s="2" t="s">
        <v>207</v>
      </c>
      <c r="C65" s="2" t="s">
        <v>208</v>
      </c>
      <c r="D65" s="2" t="s">
        <v>22</v>
      </c>
      <c r="E65" s="19">
        <f>(E13+E25)*CALCULATOR!J14</f>
        <v>150</v>
      </c>
      <c r="F65" s="19">
        <v>20</v>
      </c>
      <c r="H65" s="19">
        <f>IF(CALCULATOR!$B$43="Yes", 1,0)</f>
        <v>1</v>
      </c>
      <c r="I65" s="22">
        <f t="shared" si="3"/>
        <v>3000</v>
      </c>
      <c r="P65" s="44" t="s">
        <v>209</v>
      </c>
      <c r="Q65" s="108">
        <v>0.05</v>
      </c>
      <c r="R65" s="109" t="s">
        <v>205</v>
      </c>
      <c r="S65" s="46" t="s">
        <v>206</v>
      </c>
      <c r="T65" s="109" t="s">
        <v>206</v>
      </c>
      <c r="U65" s="46" t="s">
        <v>206</v>
      </c>
    </row>
    <row r="66" spans="2:21" ht="18.75" thickBot="1" x14ac:dyDescent="0.4">
      <c r="B66" s="2" t="s">
        <v>210</v>
      </c>
      <c r="C66" s="2" t="s">
        <v>205</v>
      </c>
      <c r="D66" s="2" t="s">
        <v>22</v>
      </c>
      <c r="E66" s="19">
        <f>(CALCULATOR!E29/100)*$E$29*CALCULATOR!J10</f>
        <v>3112.8</v>
      </c>
      <c r="F66" s="19">
        <v>0</v>
      </c>
      <c r="H66" s="19">
        <f>IF(CALCULATOR!$B$43="Yes", 1,0)</f>
        <v>1</v>
      </c>
      <c r="I66" s="22">
        <f t="shared" si="3"/>
        <v>0</v>
      </c>
      <c r="P66" s="48" t="s">
        <v>211</v>
      </c>
      <c r="Q66" s="110">
        <v>6.0000000000000001E-3</v>
      </c>
      <c r="R66" s="109" t="s">
        <v>205</v>
      </c>
      <c r="S66" s="50" t="s">
        <v>206</v>
      </c>
      <c r="T66" s="109" t="s">
        <v>206</v>
      </c>
      <c r="U66" s="50" t="s">
        <v>206</v>
      </c>
    </row>
    <row r="67" spans="2:21" ht="18.75" thickBot="1" x14ac:dyDescent="0.4">
      <c r="B67" s="2" t="s">
        <v>212</v>
      </c>
      <c r="C67" s="2" t="s">
        <v>205</v>
      </c>
      <c r="D67" s="2" t="s">
        <v>22</v>
      </c>
      <c r="E67" s="19">
        <f>(CALCULATOR!E31/100)*$E$29*CALCULATOR!J12</f>
        <v>466.92</v>
      </c>
      <c r="F67" s="19">
        <v>0</v>
      </c>
      <c r="H67" s="19">
        <f>IF(CALCULATOR!$B$43="Yes", 1,0)</f>
        <v>1</v>
      </c>
      <c r="I67" s="22">
        <f t="shared" si="3"/>
        <v>0</v>
      </c>
      <c r="P67" s="44" t="s">
        <v>213</v>
      </c>
      <c r="Q67" s="110">
        <v>6.0000000000000001E-3</v>
      </c>
      <c r="R67" s="109" t="s">
        <v>205</v>
      </c>
      <c r="S67" s="46" t="s">
        <v>206</v>
      </c>
      <c r="T67" s="109" t="s">
        <v>206</v>
      </c>
      <c r="U67" s="46" t="s">
        <v>206</v>
      </c>
    </row>
    <row r="68" spans="2:21" ht="18.75" thickBot="1" x14ac:dyDescent="0.4">
      <c r="B68" s="2" t="s">
        <v>214</v>
      </c>
      <c r="C68" s="2" t="s">
        <v>205</v>
      </c>
      <c r="D68" s="2" t="s">
        <v>22</v>
      </c>
      <c r="E68" s="19">
        <f>(CALCULATOR!E30/100)*$E$29*CALCULATOR!J11</f>
        <v>3891</v>
      </c>
      <c r="F68" s="19">
        <v>0</v>
      </c>
      <c r="H68" s="19">
        <f>IF(CALCULATOR!$B$43="Yes", 1,0)</f>
        <v>1</v>
      </c>
      <c r="I68" s="22">
        <f t="shared" si="3"/>
        <v>0</v>
      </c>
      <c r="P68" s="48" t="s">
        <v>215</v>
      </c>
      <c r="Q68" s="110">
        <v>2E-3</v>
      </c>
      <c r="R68" s="109" t="s">
        <v>205</v>
      </c>
      <c r="S68" s="50" t="s">
        <v>206</v>
      </c>
      <c r="T68" s="109" t="s">
        <v>206</v>
      </c>
      <c r="U68" s="50" t="s">
        <v>206</v>
      </c>
    </row>
    <row r="69" spans="2:21" ht="18.75" thickBot="1" x14ac:dyDescent="0.4">
      <c r="B69" s="53" t="s">
        <v>216</v>
      </c>
      <c r="P69" s="44" t="s">
        <v>217</v>
      </c>
      <c r="Q69" s="45">
        <v>1</v>
      </c>
      <c r="R69" s="52"/>
      <c r="S69" s="52"/>
      <c r="T69" s="109" t="s">
        <v>218</v>
      </c>
      <c r="U69" s="47">
        <v>0.878</v>
      </c>
    </row>
    <row r="70" spans="2:21" ht="18" x14ac:dyDescent="0.35">
      <c r="B70" s="53" t="s">
        <v>219</v>
      </c>
      <c r="H70" s="1" t="s">
        <v>220</v>
      </c>
      <c r="I70" s="29">
        <f>SUM(I61:I69)</f>
        <v>16457770.5</v>
      </c>
      <c r="P70" s="53" t="s">
        <v>216</v>
      </c>
    </row>
    <row r="71" spans="2:21" ht="18" x14ac:dyDescent="0.35">
      <c r="B71" s="53" t="s">
        <v>221</v>
      </c>
      <c r="P71" s="53" t="s">
        <v>219</v>
      </c>
    </row>
    <row r="72" spans="2:21" ht="18" x14ac:dyDescent="0.35">
      <c r="P72" s="53" t="s">
        <v>221</v>
      </c>
    </row>
    <row r="73" spans="2:21" ht="18" x14ac:dyDescent="0.35">
      <c r="H73" s="35" t="s">
        <v>222</v>
      </c>
      <c r="I73" s="36">
        <f>I56-I70</f>
        <v>3004271.0812429935</v>
      </c>
    </row>
    <row r="74" spans="2:21" ht="18" x14ac:dyDescent="0.35">
      <c r="H74" s="37" t="s">
        <v>223</v>
      </c>
      <c r="I74" s="36">
        <f>I73/CALCULATOR!E5</f>
        <v>40056.947749906576</v>
      </c>
    </row>
  </sheetData>
  <sheetProtection algorithmName="SHA-512" hashValue="NZ3hwCoQveXjR8h39PAigPF/aOd1kQLP9/DRGnLqvqHcaFG2nuceHotlu2sVknL0VQkD1q0VTFmo1Y8S/6lOVA==" saltValue="OutplWbZjEkpIEcyGxs8kQ==" spinCount="100000" sheet="1" objects="1" scenarios="1"/>
  <mergeCells count="20">
    <mergeCell ref="A16:A20"/>
    <mergeCell ref="B16:B20"/>
    <mergeCell ref="A21:A23"/>
    <mergeCell ref="B21:B23"/>
    <mergeCell ref="A3:M3"/>
    <mergeCell ref="A50:E50"/>
    <mergeCell ref="A27:A28"/>
    <mergeCell ref="B27:B28"/>
    <mergeCell ref="B29:B30"/>
    <mergeCell ref="A29:A30"/>
    <mergeCell ref="A39:H39"/>
    <mergeCell ref="B33:B37"/>
    <mergeCell ref="A33:A37"/>
    <mergeCell ref="A24:A26"/>
    <mergeCell ref="B24:B26"/>
    <mergeCell ref="J24:J26"/>
    <mergeCell ref="B8:B10"/>
    <mergeCell ref="A8:A10"/>
    <mergeCell ref="A11:A15"/>
    <mergeCell ref="B11:B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2167-7BF5-4ACE-AA55-914100ED741E}">
  <dimension ref="B2:P101"/>
  <sheetViews>
    <sheetView workbookViewId="0">
      <selection activeCell="E38" sqref="E38"/>
    </sheetView>
  </sheetViews>
  <sheetFormatPr defaultColWidth="8.796875" defaultRowHeight="15" outlineLevelCol="1" x14ac:dyDescent="0.35"/>
  <cols>
    <col min="1" max="1" width="8.796875" style="1"/>
    <col min="2" max="2" width="21.09765625" style="1" customWidth="1"/>
    <col min="3" max="4" width="8.796875" style="1"/>
    <col min="5" max="5" width="21.09765625" style="1" customWidth="1"/>
    <col min="6" max="6" width="8.796875" style="1"/>
    <col min="7" max="8" width="8.796875" style="1" customWidth="1" outlineLevel="1"/>
    <col min="9" max="9" width="24.796875" style="1" customWidth="1" outlineLevel="1"/>
    <col min="10" max="10" width="21.09765625" style="1" customWidth="1" outlineLevel="1"/>
    <col min="11" max="13" width="8.796875" style="1" customWidth="1" outlineLevel="1"/>
    <col min="14" max="14" width="18.796875" style="6" customWidth="1" outlineLevel="1"/>
    <col min="15" max="15" width="84.09765625" style="1" customWidth="1" outlineLevel="1"/>
    <col min="16" max="16" width="8.796875" style="1" customWidth="1" outlineLevel="1"/>
    <col min="17" max="16384" width="8.796875" style="1"/>
  </cols>
  <sheetData>
    <row r="2" spans="2:15" ht="27" customHeight="1" x14ac:dyDescent="0.35">
      <c r="B2" s="67" t="s">
        <v>224</v>
      </c>
      <c r="C2" s="74"/>
      <c r="D2" s="74"/>
      <c r="E2" s="68"/>
      <c r="I2" s="67" t="s">
        <v>225</v>
      </c>
      <c r="J2" s="74"/>
      <c r="K2" s="74"/>
      <c r="L2" s="74"/>
      <c r="M2" s="74"/>
      <c r="N2" s="74"/>
      <c r="O2" s="68"/>
    </row>
    <row r="3" spans="2:15" ht="35.450000000000003" customHeight="1" x14ac:dyDescent="0.35">
      <c r="B3" s="2" t="s">
        <v>3</v>
      </c>
      <c r="C3" s="2" t="s">
        <v>4</v>
      </c>
      <c r="D3" s="2" t="s">
        <v>169</v>
      </c>
      <c r="E3" s="2" t="s">
        <v>6</v>
      </c>
      <c r="I3" s="4" t="s">
        <v>3</v>
      </c>
      <c r="J3" s="4" t="s">
        <v>226</v>
      </c>
      <c r="K3" s="4" t="s">
        <v>4</v>
      </c>
      <c r="L3" s="4" t="s">
        <v>227</v>
      </c>
      <c r="M3" s="4" t="s">
        <v>169</v>
      </c>
      <c r="N3" s="7" t="s">
        <v>228</v>
      </c>
      <c r="O3" s="7" t="s">
        <v>6</v>
      </c>
    </row>
    <row r="4" spans="2:15" ht="18" x14ac:dyDescent="0.35">
      <c r="B4" s="2" t="s">
        <v>229</v>
      </c>
      <c r="C4" s="72" t="s">
        <v>230</v>
      </c>
      <c r="D4" s="96">
        <v>65</v>
      </c>
      <c r="E4" s="95" t="s">
        <v>231</v>
      </c>
      <c r="I4" s="2" t="s">
        <v>101</v>
      </c>
      <c r="J4" s="2" t="s">
        <v>232</v>
      </c>
      <c r="K4" s="2" t="s">
        <v>233</v>
      </c>
      <c r="L4" s="2">
        <f>$D$10*2</f>
        <v>20</v>
      </c>
      <c r="M4" s="2">
        <f>VLOOKUP(J4,$B$4:$E$8,3,0)</f>
        <v>82</v>
      </c>
      <c r="N4" s="5">
        <f>L4*M4</f>
        <v>1640</v>
      </c>
      <c r="O4" s="2" t="s">
        <v>234</v>
      </c>
    </row>
    <row r="5" spans="2:15" ht="18" x14ac:dyDescent="0.35">
      <c r="B5" s="2" t="s">
        <v>235</v>
      </c>
      <c r="C5" s="72"/>
      <c r="D5" s="96">
        <v>75</v>
      </c>
      <c r="E5" s="95" t="s">
        <v>236</v>
      </c>
      <c r="I5" s="8" t="s">
        <v>102</v>
      </c>
      <c r="J5" s="2"/>
      <c r="K5" s="2"/>
      <c r="L5" s="2"/>
      <c r="M5" s="2"/>
      <c r="N5" s="9">
        <f>N4</f>
        <v>1640</v>
      </c>
      <c r="O5" s="2"/>
    </row>
    <row r="6" spans="2:15" ht="18" x14ac:dyDescent="0.35">
      <c r="B6" s="2" t="s">
        <v>232</v>
      </c>
      <c r="C6" s="72"/>
      <c r="D6" s="96">
        <v>82</v>
      </c>
      <c r="E6" s="95" t="s">
        <v>237</v>
      </c>
      <c r="I6" s="10"/>
      <c r="J6" s="10"/>
      <c r="K6" s="10"/>
      <c r="L6" s="10"/>
      <c r="M6" s="10"/>
      <c r="N6" s="11"/>
      <c r="O6" s="10"/>
    </row>
    <row r="7" spans="2:15" ht="18" x14ac:dyDescent="0.35">
      <c r="B7" s="2" t="s">
        <v>238</v>
      </c>
      <c r="C7" s="72"/>
      <c r="D7" s="96">
        <v>86</v>
      </c>
      <c r="E7" s="95" t="s">
        <v>239</v>
      </c>
      <c r="I7" s="2" t="s">
        <v>240</v>
      </c>
      <c r="J7" s="2" t="s">
        <v>241</v>
      </c>
      <c r="K7" s="2" t="s">
        <v>233</v>
      </c>
      <c r="L7" s="2">
        <f>$D$10</f>
        <v>10</v>
      </c>
      <c r="M7" s="2">
        <f>VLOOKUP(J7,$B$4:$E$8,3,0)</f>
        <v>110</v>
      </c>
      <c r="N7" s="5">
        <f>L7*M7</f>
        <v>1100</v>
      </c>
      <c r="O7" s="2"/>
    </row>
    <row r="8" spans="2:15" ht="18" x14ac:dyDescent="0.35">
      <c r="B8" s="2" t="s">
        <v>241</v>
      </c>
      <c r="C8" s="72"/>
      <c r="D8" s="96">
        <v>110</v>
      </c>
      <c r="E8" s="95" t="s">
        <v>241</v>
      </c>
      <c r="I8" s="2" t="s">
        <v>236</v>
      </c>
      <c r="J8" s="2" t="s">
        <v>235</v>
      </c>
      <c r="K8" s="2" t="s">
        <v>233</v>
      </c>
      <c r="L8" s="2">
        <f>$D$10*4</f>
        <v>40</v>
      </c>
      <c r="M8" s="2">
        <f>VLOOKUP(J8,$B$4:$E$8,3,0)</f>
        <v>75</v>
      </c>
      <c r="N8" s="5">
        <f>L8*M8</f>
        <v>3000</v>
      </c>
      <c r="O8" s="2" t="s">
        <v>242</v>
      </c>
    </row>
    <row r="9" spans="2:15" ht="18" x14ac:dyDescent="0.35">
      <c r="I9" s="2" t="s">
        <v>243</v>
      </c>
      <c r="J9" s="2" t="s">
        <v>229</v>
      </c>
      <c r="K9" s="2" t="s">
        <v>233</v>
      </c>
      <c r="L9" s="2">
        <f>$D$10*2</f>
        <v>20</v>
      </c>
      <c r="M9" s="2">
        <f>VLOOKUP(J9,$B$4:$E$8,3,0)</f>
        <v>65</v>
      </c>
      <c r="N9" s="5">
        <f>L9*M9</f>
        <v>1300</v>
      </c>
      <c r="O9" s="2" t="s">
        <v>234</v>
      </c>
    </row>
    <row r="10" spans="2:15" ht="18" x14ac:dyDescent="0.35">
      <c r="B10" s="1" t="s">
        <v>244</v>
      </c>
      <c r="C10" s="1" t="s">
        <v>233</v>
      </c>
      <c r="D10" s="1">
        <v>10</v>
      </c>
      <c r="I10" s="2" t="s">
        <v>245</v>
      </c>
      <c r="J10" s="2" t="s">
        <v>246</v>
      </c>
      <c r="K10" s="2" t="s">
        <v>233</v>
      </c>
      <c r="L10" s="2">
        <f>$D$10*3</f>
        <v>30</v>
      </c>
      <c r="M10" s="2">
        <f>VLOOKUP(J10,$B$15:$E$32,3,0)</f>
        <v>15</v>
      </c>
      <c r="N10" s="5">
        <f>L10*M10</f>
        <v>450</v>
      </c>
      <c r="O10" s="2"/>
    </row>
    <row r="11" spans="2:15" ht="18" x14ac:dyDescent="0.35">
      <c r="I11" s="8" t="s">
        <v>105</v>
      </c>
      <c r="J11" s="2"/>
      <c r="K11" s="2"/>
      <c r="L11" s="2"/>
      <c r="M11" s="2"/>
      <c r="N11" s="9">
        <f>SUM(N7:N10)</f>
        <v>5850</v>
      </c>
      <c r="O11" s="2"/>
    </row>
    <row r="12" spans="2:15" ht="18" x14ac:dyDescent="0.35">
      <c r="I12" s="10"/>
      <c r="J12" s="10"/>
      <c r="K12" s="10"/>
      <c r="L12" s="10"/>
      <c r="M12" s="10"/>
      <c r="N12" s="11"/>
      <c r="O12" s="10"/>
    </row>
    <row r="13" spans="2:15" ht="20.25" x14ac:dyDescent="0.35">
      <c r="B13" s="63" t="s">
        <v>247</v>
      </c>
      <c r="C13" s="63"/>
      <c r="D13" s="63"/>
      <c r="E13" s="63"/>
      <c r="I13" s="2" t="s">
        <v>248</v>
      </c>
      <c r="J13" s="2" t="s">
        <v>249</v>
      </c>
      <c r="K13" s="2" t="s">
        <v>233</v>
      </c>
      <c r="L13" s="2">
        <f>$D$10*1</f>
        <v>10</v>
      </c>
      <c r="M13" s="2">
        <f>VLOOKUP(J13,$B$15:$E$32,3,0)</f>
        <v>175</v>
      </c>
      <c r="N13" s="5">
        <f t="shared" ref="N13:N17" si="0">L13*M13</f>
        <v>1750</v>
      </c>
      <c r="O13" s="2"/>
    </row>
    <row r="14" spans="2:15" ht="19.899999999999999" customHeight="1" x14ac:dyDescent="0.35">
      <c r="B14" s="2" t="s">
        <v>3</v>
      </c>
      <c r="C14" s="2" t="s">
        <v>4</v>
      </c>
      <c r="D14" s="2" t="s">
        <v>169</v>
      </c>
      <c r="E14" s="2" t="s">
        <v>6</v>
      </c>
      <c r="I14" s="2" t="s">
        <v>250</v>
      </c>
      <c r="J14" s="2" t="s">
        <v>251</v>
      </c>
      <c r="K14" s="2" t="s">
        <v>233</v>
      </c>
      <c r="L14" s="2">
        <f>$D$10*1</f>
        <v>10</v>
      </c>
      <c r="M14" s="2">
        <f>VLOOKUP(J14,$B$15:$E$32,3,0)/$D$10</f>
        <v>20</v>
      </c>
      <c r="N14" s="5">
        <f t="shared" si="0"/>
        <v>200</v>
      </c>
      <c r="O14" s="2"/>
    </row>
    <row r="15" spans="2:15" ht="18" x14ac:dyDescent="0.35">
      <c r="B15" s="2" t="s">
        <v>249</v>
      </c>
      <c r="C15" s="2" t="s">
        <v>233</v>
      </c>
      <c r="D15" s="95">
        <v>175</v>
      </c>
      <c r="E15" s="95"/>
      <c r="I15" s="2" t="s">
        <v>252</v>
      </c>
      <c r="J15" s="2" t="s">
        <v>253</v>
      </c>
      <c r="K15" s="2" t="s">
        <v>233</v>
      </c>
      <c r="L15" s="2">
        <f>$D$10*2</f>
        <v>20</v>
      </c>
      <c r="M15" s="2">
        <f>VLOOKUP(J15,$B$15:$E$32,3,0)</f>
        <v>150</v>
      </c>
      <c r="N15" s="5">
        <f t="shared" si="0"/>
        <v>3000</v>
      </c>
      <c r="O15" s="2" t="s">
        <v>254</v>
      </c>
    </row>
    <row r="16" spans="2:15" ht="18" x14ac:dyDescent="0.35">
      <c r="B16" s="2" t="s">
        <v>255</v>
      </c>
      <c r="C16" s="2" t="s">
        <v>233</v>
      </c>
      <c r="D16" s="95">
        <v>160</v>
      </c>
      <c r="E16" s="95"/>
      <c r="I16" s="2" t="s">
        <v>243</v>
      </c>
      <c r="J16" s="2" t="s">
        <v>229</v>
      </c>
      <c r="K16" s="2" t="s">
        <v>233</v>
      </c>
      <c r="L16" s="2">
        <f>$D$10*2</f>
        <v>20</v>
      </c>
      <c r="M16" s="2">
        <f>VLOOKUP(J16,$B$4:$E$8,3,0)</f>
        <v>65</v>
      </c>
      <c r="N16" s="5">
        <f t="shared" si="0"/>
        <v>1300</v>
      </c>
      <c r="O16" s="2" t="s">
        <v>256</v>
      </c>
    </row>
    <row r="17" spans="2:15" ht="18" x14ac:dyDescent="0.35">
      <c r="B17" s="2" t="s">
        <v>251</v>
      </c>
      <c r="C17" s="2" t="s">
        <v>257</v>
      </c>
      <c r="D17" s="95">
        <v>200</v>
      </c>
      <c r="E17" s="95"/>
      <c r="I17" s="2" t="s">
        <v>245</v>
      </c>
      <c r="J17" s="2" t="s">
        <v>246</v>
      </c>
      <c r="K17" s="2" t="s">
        <v>233</v>
      </c>
      <c r="L17" s="2">
        <f>$D$10*2</f>
        <v>20</v>
      </c>
      <c r="M17" s="2">
        <f>VLOOKUP(J17,$B$15:$E$32,3,0)</f>
        <v>15</v>
      </c>
      <c r="N17" s="5">
        <f t="shared" si="0"/>
        <v>300</v>
      </c>
      <c r="O17" s="2"/>
    </row>
    <row r="18" spans="2:15" ht="18" x14ac:dyDescent="0.35">
      <c r="B18" s="2" t="s">
        <v>258</v>
      </c>
      <c r="C18" s="2" t="s">
        <v>257</v>
      </c>
      <c r="D18" s="95">
        <v>150</v>
      </c>
      <c r="E18" s="95"/>
      <c r="I18" s="8" t="s">
        <v>118</v>
      </c>
      <c r="J18" s="2"/>
      <c r="K18" s="2"/>
      <c r="L18" s="2"/>
      <c r="M18" s="2"/>
      <c r="N18" s="9">
        <f>SUM(N13:N17)</f>
        <v>6550</v>
      </c>
      <c r="O18" s="2"/>
    </row>
    <row r="19" spans="2:15" ht="18" x14ac:dyDescent="0.35">
      <c r="B19" s="2" t="s">
        <v>253</v>
      </c>
      <c r="C19" s="2" t="s">
        <v>233</v>
      </c>
      <c r="D19" s="95">
        <v>150</v>
      </c>
      <c r="E19" s="95"/>
      <c r="I19" s="10"/>
      <c r="J19" s="10"/>
      <c r="K19" s="10"/>
      <c r="L19" s="10"/>
      <c r="M19" s="10"/>
      <c r="N19" s="11"/>
      <c r="O19" s="10"/>
    </row>
    <row r="20" spans="2:15" ht="18" x14ac:dyDescent="0.35">
      <c r="B20" s="2" t="s">
        <v>259</v>
      </c>
      <c r="C20" s="2" t="s">
        <v>233</v>
      </c>
      <c r="D20" s="95">
        <v>120</v>
      </c>
      <c r="E20" s="95"/>
      <c r="I20" s="2" t="s">
        <v>260</v>
      </c>
      <c r="J20" s="2" t="s">
        <v>255</v>
      </c>
      <c r="K20" s="2" t="s">
        <v>233</v>
      </c>
      <c r="L20" s="2">
        <f>$D$10*1</f>
        <v>10</v>
      </c>
      <c r="M20" s="2">
        <f>VLOOKUP(J20,$B$15:$E$32,3,0)</f>
        <v>160</v>
      </c>
      <c r="N20" s="5">
        <f t="shared" ref="N20:N24" si="1">L20*M20</f>
        <v>1600</v>
      </c>
      <c r="O20" s="2"/>
    </row>
    <row r="21" spans="2:15" ht="18" x14ac:dyDescent="0.35">
      <c r="B21" s="2" t="s">
        <v>261</v>
      </c>
      <c r="C21" s="2" t="s">
        <v>233</v>
      </c>
      <c r="D21" s="95">
        <v>130</v>
      </c>
      <c r="E21" s="95"/>
      <c r="I21" s="2" t="s">
        <v>252</v>
      </c>
      <c r="J21" s="2" t="s">
        <v>253</v>
      </c>
      <c r="K21" s="2" t="s">
        <v>233</v>
      </c>
      <c r="L21" s="2">
        <f>$D$10*2</f>
        <v>20</v>
      </c>
      <c r="M21" s="2">
        <f>VLOOKUP(J21,$B$15:$E$32,3,0)</f>
        <v>150</v>
      </c>
      <c r="N21" s="5">
        <f t="shared" si="1"/>
        <v>3000</v>
      </c>
      <c r="O21" s="2" t="s">
        <v>254</v>
      </c>
    </row>
    <row r="22" spans="2:15" ht="18" x14ac:dyDescent="0.35">
      <c r="B22" s="2" t="s">
        <v>262</v>
      </c>
      <c r="C22" s="2" t="s">
        <v>233</v>
      </c>
      <c r="D22" s="95">
        <v>210</v>
      </c>
      <c r="E22" s="95"/>
      <c r="I22" s="2" t="s">
        <v>243</v>
      </c>
      <c r="J22" s="2" t="s">
        <v>229</v>
      </c>
      <c r="K22" s="2" t="s">
        <v>233</v>
      </c>
      <c r="L22" s="2">
        <f>$D$10*2</f>
        <v>20</v>
      </c>
      <c r="M22" s="2">
        <f>VLOOKUP(J22,$B$4:$E$8,3,0)</f>
        <v>65</v>
      </c>
      <c r="N22" s="5">
        <f t="shared" si="1"/>
        <v>1300</v>
      </c>
      <c r="O22" s="2" t="s">
        <v>263</v>
      </c>
    </row>
    <row r="23" spans="2:15" ht="18" x14ac:dyDescent="0.35">
      <c r="B23" s="2" t="s">
        <v>246</v>
      </c>
      <c r="C23" s="2" t="s">
        <v>233</v>
      </c>
      <c r="D23" s="95">
        <v>15</v>
      </c>
      <c r="E23" s="95"/>
      <c r="I23" s="2" t="s">
        <v>264</v>
      </c>
      <c r="J23" s="2" t="s">
        <v>259</v>
      </c>
      <c r="K23" s="2" t="s">
        <v>233</v>
      </c>
      <c r="L23" s="2">
        <f>$D$10*1</f>
        <v>10</v>
      </c>
      <c r="M23" s="2">
        <f>VLOOKUP(J23,$B$15:$E$32,3,0)</f>
        <v>120</v>
      </c>
      <c r="N23" s="5">
        <f t="shared" si="1"/>
        <v>1200</v>
      </c>
      <c r="O23" s="2"/>
    </row>
    <row r="24" spans="2:15" ht="18" x14ac:dyDescent="0.35">
      <c r="B24" s="2" t="s">
        <v>163</v>
      </c>
      <c r="C24" s="2" t="s">
        <v>233</v>
      </c>
      <c r="D24" s="95">
        <v>2000</v>
      </c>
      <c r="E24" s="95"/>
      <c r="I24" s="2" t="s">
        <v>265</v>
      </c>
      <c r="J24" s="2" t="s">
        <v>261</v>
      </c>
      <c r="K24" s="2" t="s">
        <v>233</v>
      </c>
      <c r="L24" s="2">
        <f>$D$10*1</f>
        <v>10</v>
      </c>
      <c r="M24" s="2">
        <f>VLOOKUP(J24,$B$15:$E$32,3,0)</f>
        <v>130</v>
      </c>
      <c r="N24" s="5">
        <f t="shared" si="1"/>
        <v>1300</v>
      </c>
      <c r="O24" s="2"/>
    </row>
    <row r="25" spans="2:15" ht="18" x14ac:dyDescent="0.35">
      <c r="B25" s="2" t="s">
        <v>266</v>
      </c>
      <c r="C25" s="2" t="s">
        <v>233</v>
      </c>
      <c r="D25" s="95">
        <v>1100</v>
      </c>
      <c r="E25" s="95"/>
      <c r="I25" s="2"/>
      <c r="J25" s="2"/>
      <c r="K25" s="2"/>
      <c r="L25" s="2"/>
      <c r="M25" s="2"/>
      <c r="N25" s="5"/>
      <c r="O25" s="2"/>
    </row>
    <row r="26" spans="2:15" ht="18" x14ac:dyDescent="0.35">
      <c r="B26" s="2" t="s">
        <v>164</v>
      </c>
      <c r="C26" s="2" t="s">
        <v>233</v>
      </c>
      <c r="D26" s="95">
        <v>850</v>
      </c>
      <c r="E26" s="95"/>
      <c r="I26" s="8" t="s">
        <v>128</v>
      </c>
      <c r="J26" s="2"/>
      <c r="K26" s="2"/>
      <c r="L26" s="2"/>
      <c r="M26" s="2"/>
      <c r="N26" s="9">
        <f>SUM(N20:N24)</f>
        <v>8400</v>
      </c>
      <c r="O26" s="2"/>
    </row>
    <row r="27" spans="2:15" ht="18" x14ac:dyDescent="0.35">
      <c r="B27" s="2" t="s">
        <v>165</v>
      </c>
      <c r="C27" s="2" t="s">
        <v>233</v>
      </c>
      <c r="D27" s="95">
        <v>750</v>
      </c>
      <c r="E27" s="95"/>
      <c r="I27" s="10"/>
      <c r="J27" s="10"/>
      <c r="K27" s="10"/>
      <c r="L27" s="10"/>
      <c r="M27" s="10"/>
      <c r="N27" s="11"/>
      <c r="O27" s="10"/>
    </row>
    <row r="28" spans="2:15" ht="18" x14ac:dyDescent="0.35">
      <c r="B28" s="2" t="s">
        <v>267</v>
      </c>
      <c r="C28" s="2" t="s">
        <v>257</v>
      </c>
      <c r="D28" s="95">
        <v>480</v>
      </c>
      <c r="E28" s="95"/>
      <c r="I28" s="2" t="s">
        <v>260</v>
      </c>
      <c r="J28" s="2" t="s">
        <v>255</v>
      </c>
      <c r="K28" s="2" t="s">
        <v>233</v>
      </c>
      <c r="L28" s="2">
        <f>$D$10*1</f>
        <v>10</v>
      </c>
      <c r="M28" s="2">
        <f>VLOOKUP(J28,$B$15:$E$32,3,0)</f>
        <v>160</v>
      </c>
      <c r="N28" s="5">
        <f t="shared" ref="N28:N33" si="2">L28*M28</f>
        <v>1600</v>
      </c>
      <c r="O28" s="2"/>
    </row>
    <row r="29" spans="2:15" ht="18" x14ac:dyDescent="0.35">
      <c r="B29" s="2" t="s">
        <v>268</v>
      </c>
      <c r="C29" s="2" t="s">
        <v>233</v>
      </c>
      <c r="D29" s="95">
        <v>175</v>
      </c>
      <c r="E29" s="95"/>
      <c r="I29" s="2" t="s">
        <v>252</v>
      </c>
      <c r="J29" s="2" t="s">
        <v>253</v>
      </c>
      <c r="K29" s="2" t="s">
        <v>233</v>
      </c>
      <c r="L29" s="2">
        <f>$D$10*2</f>
        <v>20</v>
      </c>
      <c r="M29" s="2">
        <f>VLOOKUP(J29,$B$15:$E$32,3,0)</f>
        <v>150</v>
      </c>
      <c r="N29" s="5">
        <f t="shared" si="2"/>
        <v>3000</v>
      </c>
      <c r="O29" s="2" t="s">
        <v>254</v>
      </c>
    </row>
    <row r="30" spans="2:15" ht="18" x14ac:dyDescent="0.35">
      <c r="B30" s="2" t="s">
        <v>269</v>
      </c>
      <c r="C30" s="2" t="s">
        <v>233</v>
      </c>
      <c r="D30" s="95">
        <v>200</v>
      </c>
      <c r="E30" s="95"/>
      <c r="I30" s="2" t="s">
        <v>270</v>
      </c>
      <c r="J30" s="2" t="s">
        <v>262</v>
      </c>
      <c r="K30" s="2" t="s">
        <v>233</v>
      </c>
      <c r="L30" s="2">
        <f>$D$10*1</f>
        <v>10</v>
      </c>
      <c r="M30" s="2">
        <f>VLOOKUP(J30,$B$15:$E$32,3,0)</f>
        <v>210</v>
      </c>
      <c r="N30" s="5">
        <f t="shared" si="2"/>
        <v>2100</v>
      </c>
      <c r="O30" s="2"/>
    </row>
    <row r="31" spans="2:15" ht="18" x14ac:dyDescent="0.35">
      <c r="B31" s="2" t="s">
        <v>271</v>
      </c>
      <c r="C31" s="2" t="s">
        <v>233</v>
      </c>
      <c r="D31" s="95">
        <v>12</v>
      </c>
      <c r="E31" s="95"/>
      <c r="I31" s="2" t="s">
        <v>264</v>
      </c>
      <c r="J31" s="2" t="s">
        <v>259</v>
      </c>
      <c r="K31" s="2" t="s">
        <v>233</v>
      </c>
      <c r="L31" s="2">
        <f>$D$10*1</f>
        <v>10</v>
      </c>
      <c r="M31" s="2">
        <f>VLOOKUP(J31,$B$15:$E$32,3,0)</f>
        <v>120</v>
      </c>
      <c r="N31" s="5">
        <f t="shared" si="2"/>
        <v>1200</v>
      </c>
      <c r="O31" s="2"/>
    </row>
    <row r="32" spans="2:15" ht="18" x14ac:dyDescent="0.35">
      <c r="I32" s="2" t="s">
        <v>265</v>
      </c>
      <c r="J32" s="2" t="s">
        <v>261</v>
      </c>
      <c r="K32" s="2" t="s">
        <v>233</v>
      </c>
      <c r="L32" s="2">
        <f>$D$10*1</f>
        <v>10</v>
      </c>
      <c r="M32" s="2">
        <f>VLOOKUP(J32,$B$15:$E$32,3,0)</f>
        <v>130</v>
      </c>
      <c r="N32" s="5">
        <f t="shared" si="2"/>
        <v>1300</v>
      </c>
      <c r="O32" s="2"/>
    </row>
    <row r="33" spans="2:15" ht="18" x14ac:dyDescent="0.35">
      <c r="B33" s="75" t="s">
        <v>272</v>
      </c>
      <c r="C33" s="75"/>
      <c r="D33" s="75"/>
      <c r="I33" s="2" t="s">
        <v>243</v>
      </c>
      <c r="J33" s="2" t="s">
        <v>229</v>
      </c>
      <c r="K33" s="2" t="s">
        <v>233</v>
      </c>
      <c r="L33" s="2">
        <f>$D$10*1</f>
        <v>10</v>
      </c>
      <c r="M33" s="2">
        <f>VLOOKUP(J33,$B$4:$E$8,3,0)</f>
        <v>65</v>
      </c>
      <c r="N33" s="5">
        <f t="shared" si="2"/>
        <v>650</v>
      </c>
      <c r="O33" s="2"/>
    </row>
    <row r="34" spans="2:15" ht="18" x14ac:dyDescent="0.35">
      <c r="B34" s="2" t="s">
        <v>273</v>
      </c>
      <c r="C34" s="2" t="s">
        <v>74</v>
      </c>
      <c r="D34" s="41">
        <f>CALCULATOR!E34</f>
        <v>200</v>
      </c>
      <c r="I34" s="8" t="s">
        <v>139</v>
      </c>
      <c r="J34" s="2"/>
      <c r="K34" s="2"/>
      <c r="L34" s="2"/>
      <c r="M34" s="2"/>
      <c r="N34" s="9">
        <f>SUM(N28:N33)</f>
        <v>9850</v>
      </c>
      <c r="O34" s="2"/>
    </row>
    <row r="35" spans="2:15" ht="18" x14ac:dyDescent="0.35">
      <c r="B35" s="2" t="s">
        <v>274</v>
      </c>
      <c r="C35" s="2" t="s">
        <v>275</v>
      </c>
      <c r="D35" s="2">
        <v>80</v>
      </c>
      <c r="I35" s="10"/>
      <c r="J35" s="10"/>
      <c r="K35" s="10"/>
      <c r="L35" s="10"/>
      <c r="M35" s="10"/>
      <c r="N35" s="11"/>
      <c r="O35" s="10"/>
    </row>
    <row r="36" spans="2:15" ht="18" x14ac:dyDescent="0.35">
      <c r="B36" s="2" t="s">
        <v>276</v>
      </c>
      <c r="C36" s="2" t="s">
        <v>22</v>
      </c>
      <c r="D36" s="2">
        <v>30</v>
      </c>
      <c r="I36" s="2" t="s">
        <v>248</v>
      </c>
      <c r="J36" s="2" t="s">
        <v>249</v>
      </c>
      <c r="K36" s="2" t="s">
        <v>233</v>
      </c>
      <c r="L36" s="2">
        <f>$D$10*1</f>
        <v>10</v>
      </c>
      <c r="M36" s="2">
        <f>VLOOKUP(J36,$B$15:$E$32,3,0)</f>
        <v>175</v>
      </c>
      <c r="N36" s="5">
        <f t="shared" ref="N36:N41" si="3">L36*M36</f>
        <v>1750</v>
      </c>
      <c r="O36" s="72" t="s">
        <v>277</v>
      </c>
    </row>
    <row r="37" spans="2:15" ht="18" x14ac:dyDescent="0.35">
      <c r="B37" s="2" t="s">
        <v>278</v>
      </c>
      <c r="C37" s="2" t="s">
        <v>279</v>
      </c>
      <c r="D37" s="2">
        <v>10</v>
      </c>
      <c r="I37" s="2" t="s">
        <v>248</v>
      </c>
      <c r="J37" s="2" t="s">
        <v>249</v>
      </c>
      <c r="K37" s="2" t="s">
        <v>233</v>
      </c>
      <c r="L37" s="2">
        <f>$D$10*1</f>
        <v>10</v>
      </c>
      <c r="M37" s="2">
        <f>VLOOKUP(J37,$B$15:$E$32,3,0)</f>
        <v>175</v>
      </c>
      <c r="N37" s="5">
        <f t="shared" si="3"/>
        <v>1750</v>
      </c>
      <c r="O37" s="72"/>
    </row>
    <row r="38" spans="2:15" ht="18" x14ac:dyDescent="0.35">
      <c r="B38" s="2" t="s">
        <v>280</v>
      </c>
      <c r="C38" s="2" t="s">
        <v>281</v>
      </c>
      <c r="D38" s="40">
        <f>D36/(D37*1.8)*60</f>
        <v>100</v>
      </c>
      <c r="I38" s="2" t="s">
        <v>250</v>
      </c>
      <c r="J38" s="2" t="s">
        <v>251</v>
      </c>
      <c r="K38" s="2" t="s">
        <v>233</v>
      </c>
      <c r="L38" s="2">
        <f>$D$10*1</f>
        <v>10</v>
      </c>
      <c r="M38" s="2">
        <f>VLOOKUP(J38,$B$15:$E$32,3,0)</f>
        <v>200</v>
      </c>
      <c r="N38" s="5">
        <f t="shared" si="3"/>
        <v>2000</v>
      </c>
      <c r="O38" s="2"/>
    </row>
    <row r="39" spans="2:15" ht="18" x14ac:dyDescent="0.35">
      <c r="B39" s="2" t="s">
        <v>282</v>
      </c>
      <c r="C39" s="2" t="s">
        <v>281</v>
      </c>
      <c r="D39" s="2">
        <f>D34*2/D35*60</f>
        <v>300</v>
      </c>
      <c r="I39" s="2" t="s">
        <v>252</v>
      </c>
      <c r="J39" s="2" t="s">
        <v>253</v>
      </c>
      <c r="K39" s="2" t="s">
        <v>233</v>
      </c>
      <c r="L39" s="2">
        <f>$D$10*2</f>
        <v>20</v>
      </c>
      <c r="M39" s="2">
        <f>VLOOKUP(J39,$B$15:$E$32,3,0)</f>
        <v>150</v>
      </c>
      <c r="N39" s="5">
        <f t="shared" si="3"/>
        <v>3000</v>
      </c>
      <c r="O39" s="2"/>
    </row>
    <row r="40" spans="2:15" ht="18" x14ac:dyDescent="0.35">
      <c r="B40" s="2" t="s">
        <v>283</v>
      </c>
      <c r="C40" s="2" t="s">
        <v>281</v>
      </c>
      <c r="D40" s="2">
        <v>15</v>
      </c>
      <c r="I40" s="2" t="s">
        <v>243</v>
      </c>
      <c r="J40" s="2" t="s">
        <v>229</v>
      </c>
      <c r="K40" s="2" t="s">
        <v>233</v>
      </c>
      <c r="L40" s="2">
        <f>$D$10*4</f>
        <v>40</v>
      </c>
      <c r="M40" s="2">
        <f>VLOOKUP(J40,$B$4:$E$8,3,0)</f>
        <v>65</v>
      </c>
      <c r="N40" s="5">
        <f t="shared" si="3"/>
        <v>2600</v>
      </c>
      <c r="O40" s="2" t="s">
        <v>284</v>
      </c>
    </row>
    <row r="41" spans="2:15" ht="18" x14ac:dyDescent="0.35">
      <c r="B41" s="2" t="s">
        <v>285</v>
      </c>
      <c r="C41" s="2" t="s">
        <v>281</v>
      </c>
      <c r="D41" s="2">
        <v>1.2</v>
      </c>
      <c r="I41" s="2" t="s">
        <v>245</v>
      </c>
      <c r="J41" s="2" t="s">
        <v>246</v>
      </c>
      <c r="K41" s="2" t="s">
        <v>233</v>
      </c>
      <c r="L41" s="2">
        <f>$D$10*1</f>
        <v>10</v>
      </c>
      <c r="M41" s="2">
        <f>VLOOKUP(J41,$B$15:$E$32,3,0)</f>
        <v>15</v>
      </c>
      <c r="N41" s="5">
        <f t="shared" si="3"/>
        <v>150</v>
      </c>
      <c r="O41" s="2"/>
    </row>
    <row r="42" spans="2:15" ht="18" x14ac:dyDescent="0.35">
      <c r="B42" s="2" t="s">
        <v>286</v>
      </c>
      <c r="C42" s="2" t="s">
        <v>281</v>
      </c>
      <c r="D42" s="40">
        <f>SUM(D38:D41)</f>
        <v>416.2</v>
      </c>
      <c r="I42" s="8" t="s">
        <v>144</v>
      </c>
      <c r="J42" s="2"/>
      <c r="K42" s="2"/>
      <c r="L42" s="2"/>
      <c r="M42" s="2"/>
      <c r="N42" s="9">
        <f>SUM(N36:N41)</f>
        <v>11250</v>
      </c>
      <c r="O42" s="2"/>
    </row>
    <row r="43" spans="2:15" ht="18" x14ac:dyDescent="0.35">
      <c r="B43" s="2" t="s">
        <v>287</v>
      </c>
      <c r="C43" s="2" t="s">
        <v>15</v>
      </c>
      <c r="D43" s="2">
        <f>ROUNDUP(D42/D38,0)</f>
        <v>5</v>
      </c>
      <c r="I43" s="10"/>
      <c r="J43" s="10"/>
      <c r="K43" s="10"/>
      <c r="L43" s="10"/>
      <c r="M43" s="10"/>
      <c r="N43" s="11"/>
      <c r="O43" s="10"/>
    </row>
    <row r="44" spans="2:15" ht="18" x14ac:dyDescent="0.35">
      <c r="G44" s="1" t="s">
        <v>288</v>
      </c>
      <c r="H44" s="1" t="s">
        <v>289</v>
      </c>
      <c r="I44" s="17" t="s">
        <v>290</v>
      </c>
      <c r="J44" s="17" t="s">
        <v>163</v>
      </c>
      <c r="K44" s="17" t="s">
        <v>233</v>
      </c>
      <c r="L44" s="17">
        <f>$D$10*(MAX(G45:H45))</f>
        <v>10</v>
      </c>
      <c r="M44" s="17">
        <f>VLOOKUP(J44,$B$15:$E$32,3,0)</f>
        <v>2000</v>
      </c>
      <c r="N44" s="18">
        <f t="shared" ref="N44" si="4">L44*M44</f>
        <v>20000</v>
      </c>
      <c r="O44" s="2" t="s">
        <v>291</v>
      </c>
    </row>
    <row r="45" spans="2:15" ht="18" x14ac:dyDescent="0.35">
      <c r="G45" s="1">
        <f>IF(CALCULATOR!$E$9&gt;100,1,0)</f>
        <v>0</v>
      </c>
      <c r="H45" s="1">
        <f>IF(CALCULATOR!$E$6&gt;100,1,0)</f>
        <v>1</v>
      </c>
      <c r="I45" s="17" t="s">
        <v>290</v>
      </c>
      <c r="J45" s="17" t="s">
        <v>266</v>
      </c>
      <c r="K45" s="17" t="s">
        <v>233</v>
      </c>
      <c r="L45" s="17">
        <f>IF(L44=0,$D$10,0)</f>
        <v>0</v>
      </c>
      <c r="M45" s="17">
        <f>VLOOKUP(J45,$B$15:$E$32,3,0)</f>
        <v>1100</v>
      </c>
      <c r="N45" s="18">
        <f t="shared" ref="N45:N49" si="5">L45*M45</f>
        <v>0</v>
      </c>
      <c r="O45" s="2" t="s">
        <v>291</v>
      </c>
    </row>
    <row r="46" spans="2:15" ht="18" x14ac:dyDescent="0.35">
      <c r="B46" s="75" t="s">
        <v>292</v>
      </c>
      <c r="C46" s="75"/>
      <c r="D46" s="75"/>
      <c r="G46" s="1">
        <f>IF(CALCULATOR!$E$9&lt;=100,1,0)</f>
        <v>1</v>
      </c>
      <c r="H46" s="1">
        <f>IF(CALCULATOR!$E$6&lt;=100,1,0)</f>
        <v>0</v>
      </c>
      <c r="I46" s="2" t="s">
        <v>293</v>
      </c>
      <c r="J46" s="2" t="s">
        <v>165</v>
      </c>
      <c r="K46" s="2" t="s">
        <v>233</v>
      </c>
      <c r="L46" s="2">
        <f t="shared" ref="L46:L47" si="6">$D$10*1</f>
        <v>10</v>
      </c>
      <c r="M46" s="2">
        <f>VLOOKUP(J46,$B$15:$E$32,3,0)</f>
        <v>750</v>
      </c>
      <c r="N46" s="5">
        <f t="shared" si="5"/>
        <v>7500</v>
      </c>
      <c r="O46" s="2" t="s">
        <v>291</v>
      </c>
    </row>
    <row r="47" spans="2:15" ht="18" x14ac:dyDescent="0.35">
      <c r="B47" s="2" t="s">
        <v>273</v>
      </c>
      <c r="C47" s="2" t="s">
        <v>74</v>
      </c>
      <c r="D47" s="41">
        <f>CALCULATOR!E35</f>
        <v>250</v>
      </c>
      <c r="I47" s="2" t="s">
        <v>294</v>
      </c>
      <c r="J47" s="2" t="s">
        <v>295</v>
      </c>
      <c r="K47" s="2" t="s">
        <v>257</v>
      </c>
      <c r="L47" s="2">
        <f t="shared" si="6"/>
        <v>10</v>
      </c>
      <c r="M47" s="2">
        <f>VLOOKUP(J47,$B$15:$E$32,3,0)/$D$10</f>
        <v>48</v>
      </c>
      <c r="N47" s="5">
        <f t="shared" si="5"/>
        <v>480</v>
      </c>
      <c r="O47" s="2"/>
    </row>
    <row r="48" spans="2:15" ht="18" x14ac:dyDescent="0.35">
      <c r="B48" s="2" t="s">
        <v>274</v>
      </c>
      <c r="C48" s="2" t="s">
        <v>275</v>
      </c>
      <c r="D48" s="2">
        <v>80</v>
      </c>
      <c r="I48" s="2" t="s">
        <v>296</v>
      </c>
      <c r="J48" s="2" t="s">
        <v>235</v>
      </c>
      <c r="K48" s="2" t="s">
        <v>233</v>
      </c>
      <c r="L48" s="2">
        <f>$D$10*6</f>
        <v>60</v>
      </c>
      <c r="M48" s="2">
        <f t="shared" ref="M48:M49" si="7">VLOOKUP(J48,$B$4:$E$8,3,0)</f>
        <v>75</v>
      </c>
      <c r="N48" s="5">
        <f t="shared" si="5"/>
        <v>4500</v>
      </c>
      <c r="O48" s="2" t="s">
        <v>297</v>
      </c>
    </row>
    <row r="49" spans="2:15" ht="18" x14ac:dyDescent="0.35">
      <c r="B49" s="2" t="s">
        <v>276</v>
      </c>
      <c r="C49" s="2" t="s">
        <v>22</v>
      </c>
      <c r="D49" s="2">
        <v>30</v>
      </c>
      <c r="I49" s="2" t="s">
        <v>243</v>
      </c>
      <c r="J49" s="2" t="s">
        <v>229</v>
      </c>
      <c r="K49" s="2" t="s">
        <v>233</v>
      </c>
      <c r="L49" s="2">
        <f>$D$10*2</f>
        <v>20</v>
      </c>
      <c r="M49" s="2">
        <f t="shared" si="7"/>
        <v>65</v>
      </c>
      <c r="N49" s="5">
        <f t="shared" si="5"/>
        <v>1300</v>
      </c>
      <c r="O49" s="2" t="s">
        <v>263</v>
      </c>
    </row>
    <row r="50" spans="2:15" ht="18" x14ac:dyDescent="0.35">
      <c r="B50" s="2" t="s">
        <v>298</v>
      </c>
      <c r="C50" s="2" t="s">
        <v>279</v>
      </c>
      <c r="D50" s="2">
        <v>20</v>
      </c>
      <c r="I50" s="8" t="s">
        <v>111</v>
      </c>
      <c r="J50" s="2"/>
      <c r="K50" s="2"/>
      <c r="L50" s="2"/>
      <c r="M50" s="2"/>
      <c r="N50" s="9">
        <f>SUM(N45:N49)</f>
        <v>13780</v>
      </c>
      <c r="O50" s="2"/>
    </row>
    <row r="51" spans="2:15" ht="18" x14ac:dyDescent="0.35">
      <c r="B51" s="2" t="s">
        <v>280</v>
      </c>
      <c r="C51" s="2" t="s">
        <v>281</v>
      </c>
      <c r="D51" s="40">
        <f>D49/(D50*1.8)*60</f>
        <v>50</v>
      </c>
      <c r="I51" s="10"/>
      <c r="J51" s="10"/>
      <c r="K51" s="10"/>
      <c r="L51" s="10"/>
      <c r="M51" s="10"/>
      <c r="N51" s="11"/>
      <c r="O51" s="10"/>
    </row>
    <row r="52" spans="2:15" ht="18" x14ac:dyDescent="0.35">
      <c r="B52" s="2" t="s">
        <v>282</v>
      </c>
      <c r="C52" s="2" t="s">
        <v>281</v>
      </c>
      <c r="D52" s="2">
        <f>D47*2/D48*60</f>
        <v>375</v>
      </c>
      <c r="I52" s="2" t="s">
        <v>299</v>
      </c>
      <c r="J52" s="2" t="s">
        <v>268</v>
      </c>
      <c r="K52" s="2" t="s">
        <v>233</v>
      </c>
      <c r="L52" s="2">
        <f>$D$10*D43</f>
        <v>50</v>
      </c>
      <c r="M52" s="2">
        <f>VLOOKUP(J52,$B$15:$E$32,3,0)</f>
        <v>175</v>
      </c>
      <c r="N52" s="5">
        <f t="shared" ref="N52:N53" si="8">L52*M52</f>
        <v>8750</v>
      </c>
      <c r="O52" s="2"/>
    </row>
    <row r="53" spans="2:15" ht="18" x14ac:dyDescent="0.35">
      <c r="B53" s="2" t="s">
        <v>283</v>
      </c>
      <c r="C53" s="2" t="s">
        <v>281</v>
      </c>
      <c r="D53" s="2">
        <v>15</v>
      </c>
      <c r="I53" s="2" t="s">
        <v>260</v>
      </c>
      <c r="J53" s="2" t="s">
        <v>249</v>
      </c>
      <c r="K53" s="2" t="s">
        <v>233</v>
      </c>
      <c r="L53" s="2">
        <f t="shared" ref="L53:L54" si="9">$D$10*1</f>
        <v>10</v>
      </c>
      <c r="M53" s="2">
        <f>VLOOKUP(J53,$B$15:$E$32,3,0)</f>
        <v>175</v>
      </c>
      <c r="N53" s="5">
        <f t="shared" si="8"/>
        <v>1750</v>
      </c>
      <c r="O53" s="2" t="s">
        <v>300</v>
      </c>
    </row>
    <row r="54" spans="2:15" ht="18" x14ac:dyDescent="0.35">
      <c r="B54" s="2" t="s">
        <v>285</v>
      </c>
      <c r="C54" s="2" t="s">
        <v>281</v>
      </c>
      <c r="D54" s="2">
        <v>1.2</v>
      </c>
      <c r="I54" s="2" t="s">
        <v>243</v>
      </c>
      <c r="J54" s="2" t="s">
        <v>229</v>
      </c>
      <c r="K54" s="2" t="s">
        <v>233</v>
      </c>
      <c r="L54" s="2">
        <f t="shared" si="9"/>
        <v>10</v>
      </c>
      <c r="M54" s="2">
        <f t="shared" ref="M54" si="10">VLOOKUP(J54,$B$4:$E$8,3,0)</f>
        <v>65</v>
      </c>
      <c r="N54" s="5">
        <f t="shared" ref="N54" si="11">L54*M54</f>
        <v>650</v>
      </c>
      <c r="O54" s="2"/>
    </row>
    <row r="55" spans="2:15" ht="18" x14ac:dyDescent="0.35">
      <c r="B55" s="2" t="s">
        <v>286</v>
      </c>
      <c r="C55" s="2" t="s">
        <v>281</v>
      </c>
      <c r="D55" s="40">
        <f>SUM(D51:D54)</f>
        <v>441.2</v>
      </c>
      <c r="I55" s="8" t="s">
        <v>121</v>
      </c>
      <c r="J55" s="2"/>
      <c r="K55" s="2"/>
      <c r="L55" s="2"/>
      <c r="M55" s="2"/>
      <c r="N55" s="9">
        <f>SUM(N52:N54)</f>
        <v>11150</v>
      </c>
      <c r="O55" s="2"/>
    </row>
    <row r="56" spans="2:15" ht="18" x14ac:dyDescent="0.35">
      <c r="B56" s="2" t="s">
        <v>287</v>
      </c>
      <c r="C56" s="2" t="s">
        <v>15</v>
      </c>
      <c r="D56" s="2">
        <f>ROUNDUP(D55/D51,0)</f>
        <v>9</v>
      </c>
      <c r="I56" s="10"/>
      <c r="J56" s="10"/>
      <c r="K56" s="10"/>
      <c r="L56" s="10"/>
      <c r="M56" s="10"/>
      <c r="N56" s="11"/>
      <c r="O56" s="10"/>
    </row>
    <row r="57" spans="2:15" ht="18" x14ac:dyDescent="0.35">
      <c r="I57" s="2" t="s">
        <v>299</v>
      </c>
      <c r="J57" s="2" t="s">
        <v>268</v>
      </c>
      <c r="K57" s="2" t="s">
        <v>233</v>
      </c>
      <c r="L57" s="2">
        <f>$D$10*$D$56</f>
        <v>90</v>
      </c>
      <c r="M57" s="2">
        <f>VLOOKUP(J57,$B$15:$E$32,3,0)</f>
        <v>175</v>
      </c>
      <c r="N57" s="5">
        <f t="shared" ref="N57:N59" si="12">L57*M57</f>
        <v>15750</v>
      </c>
      <c r="O57" s="2"/>
    </row>
    <row r="58" spans="2:15" ht="18" x14ac:dyDescent="0.35">
      <c r="I58" s="2" t="s">
        <v>260</v>
      </c>
      <c r="J58" s="2" t="s">
        <v>249</v>
      </c>
      <c r="K58" s="2" t="s">
        <v>233</v>
      </c>
      <c r="L58" s="2">
        <f t="shared" ref="L58:L59" si="13">$D$10*1</f>
        <v>10</v>
      </c>
      <c r="M58" s="2">
        <f>VLOOKUP(J58,$B$15:$E$32,3,0)</f>
        <v>175</v>
      </c>
      <c r="N58" s="5">
        <f t="shared" si="12"/>
        <v>1750</v>
      </c>
      <c r="O58" s="2" t="s">
        <v>301</v>
      </c>
    </row>
    <row r="59" spans="2:15" ht="18" x14ac:dyDescent="0.35">
      <c r="B59" s="1" t="s">
        <v>302</v>
      </c>
      <c r="C59" s="1" t="s">
        <v>24</v>
      </c>
      <c r="I59" s="2" t="s">
        <v>243</v>
      </c>
      <c r="J59" s="2" t="s">
        <v>229</v>
      </c>
      <c r="K59" s="2" t="s">
        <v>233</v>
      </c>
      <c r="L59" s="2">
        <f t="shared" si="13"/>
        <v>10</v>
      </c>
      <c r="M59" s="2">
        <f t="shared" ref="M59" si="14">VLOOKUP(J59,$B$4:$E$8,3,0)</f>
        <v>65</v>
      </c>
      <c r="N59" s="5">
        <f t="shared" si="12"/>
        <v>650</v>
      </c>
      <c r="O59" s="2"/>
    </row>
    <row r="60" spans="2:15" ht="18" x14ac:dyDescent="0.35">
      <c r="C60" s="1" t="s">
        <v>12</v>
      </c>
      <c r="I60" s="8" t="s">
        <v>141</v>
      </c>
      <c r="J60" s="2"/>
      <c r="K60" s="2"/>
      <c r="L60" s="2"/>
      <c r="M60" s="2"/>
      <c r="N60" s="9">
        <f>SUM(N57:N59)</f>
        <v>18150</v>
      </c>
      <c r="O60" s="2"/>
    </row>
    <row r="61" spans="2:15" ht="18" x14ac:dyDescent="0.35">
      <c r="I61" s="10"/>
      <c r="J61" s="10"/>
      <c r="K61" s="10"/>
      <c r="L61" s="10"/>
      <c r="M61" s="10"/>
      <c r="N61" s="11"/>
      <c r="O61" s="10"/>
    </row>
    <row r="62" spans="2:15" ht="18" x14ac:dyDescent="0.35">
      <c r="I62" s="2" t="s">
        <v>303</v>
      </c>
      <c r="J62" s="2" t="s">
        <v>165</v>
      </c>
      <c r="K62" s="2" t="s">
        <v>233</v>
      </c>
      <c r="L62" s="2">
        <f>$D$10*2</f>
        <v>20</v>
      </c>
      <c r="M62" s="2">
        <f>VLOOKUP(J62,$B$15:$E$32,3,0)</f>
        <v>750</v>
      </c>
      <c r="N62" s="5">
        <f t="shared" ref="N62:N65" si="15">L62*M62</f>
        <v>15000</v>
      </c>
      <c r="O62" s="2"/>
    </row>
    <row r="63" spans="2:15" ht="36" x14ac:dyDescent="0.35">
      <c r="I63" s="2" t="s">
        <v>304</v>
      </c>
      <c r="J63" s="2" t="s">
        <v>269</v>
      </c>
      <c r="K63" s="2" t="s">
        <v>233</v>
      </c>
      <c r="L63" s="2">
        <f>$D$10*17</f>
        <v>170</v>
      </c>
      <c r="M63" s="2">
        <f>VLOOKUP(J63,$B$15:$E$32,3,0)</f>
        <v>200</v>
      </c>
      <c r="N63" s="5">
        <f t="shared" si="15"/>
        <v>34000</v>
      </c>
      <c r="O63" s="3" t="s">
        <v>305</v>
      </c>
    </row>
    <row r="64" spans="2:15" ht="18" x14ac:dyDescent="0.35">
      <c r="I64" s="2" t="s">
        <v>306</v>
      </c>
      <c r="J64" s="2" t="s">
        <v>235</v>
      </c>
      <c r="K64" s="2" t="s">
        <v>233</v>
      </c>
      <c r="L64" s="2">
        <f>$D$10*4</f>
        <v>40</v>
      </c>
      <c r="M64" s="2">
        <f t="shared" ref="M64:M65" si="16">VLOOKUP(J64,$B$4:$E$8,3,0)</f>
        <v>75</v>
      </c>
      <c r="N64" s="5">
        <f t="shared" si="15"/>
        <v>3000</v>
      </c>
      <c r="O64" s="2"/>
    </row>
    <row r="65" spans="9:15" ht="18" x14ac:dyDescent="0.35">
      <c r="I65" s="2" t="s">
        <v>243</v>
      </c>
      <c r="J65" s="2" t="s">
        <v>229</v>
      </c>
      <c r="K65" s="2" t="s">
        <v>233</v>
      </c>
      <c r="L65" s="2">
        <f>$D$10*1</f>
        <v>10</v>
      </c>
      <c r="M65" s="2">
        <f t="shared" si="16"/>
        <v>65</v>
      </c>
      <c r="N65" s="5">
        <f t="shared" si="15"/>
        <v>650</v>
      </c>
      <c r="O65" s="2"/>
    </row>
    <row r="66" spans="9:15" ht="18" x14ac:dyDescent="0.35">
      <c r="I66" s="8" t="s">
        <v>151</v>
      </c>
      <c r="J66" s="2"/>
      <c r="K66" s="2"/>
      <c r="L66" s="2"/>
      <c r="M66" s="2"/>
      <c r="N66" s="9">
        <f>SUM(N62:N65)</f>
        <v>52650</v>
      </c>
      <c r="O66" s="2"/>
    </row>
    <row r="67" spans="9:15" ht="18" x14ac:dyDescent="0.35">
      <c r="I67" s="10"/>
      <c r="J67" s="10"/>
      <c r="K67" s="10"/>
      <c r="L67" s="10"/>
      <c r="M67" s="10"/>
      <c r="N67" s="11"/>
      <c r="O67" s="10"/>
    </row>
    <row r="68" spans="9:15" ht="18" x14ac:dyDescent="0.35">
      <c r="I68" s="2" t="s">
        <v>260</v>
      </c>
      <c r="J68" s="2" t="s">
        <v>255</v>
      </c>
      <c r="K68" s="2" t="s">
        <v>233</v>
      </c>
      <c r="L68" s="2">
        <f t="shared" ref="L68:L71" si="17">$D$10*1</f>
        <v>10</v>
      </c>
      <c r="M68" s="2">
        <f>VLOOKUP(J68,$B$15:$E$32,3,0)</f>
        <v>160</v>
      </c>
      <c r="N68" s="5">
        <f t="shared" ref="N68:N71" si="18">L68*M68</f>
        <v>1600</v>
      </c>
      <c r="O68" s="2"/>
    </row>
    <row r="69" spans="9:15" ht="18" x14ac:dyDescent="0.35">
      <c r="I69" s="2" t="s">
        <v>252</v>
      </c>
      <c r="J69" s="2" t="s">
        <v>253</v>
      </c>
      <c r="K69" s="2" t="s">
        <v>233</v>
      </c>
      <c r="L69" s="2">
        <f>$D$10*2</f>
        <v>20</v>
      </c>
      <c r="M69" s="2">
        <f>VLOOKUP(J69,$B$15:$E$32,3,0)</f>
        <v>150</v>
      </c>
      <c r="N69" s="5">
        <f t="shared" si="18"/>
        <v>3000</v>
      </c>
      <c r="O69" s="2"/>
    </row>
    <row r="70" spans="9:15" ht="18" x14ac:dyDescent="0.35">
      <c r="I70" s="2" t="s">
        <v>307</v>
      </c>
      <c r="J70" s="2" t="s">
        <v>261</v>
      </c>
      <c r="K70" s="2" t="s">
        <v>233</v>
      </c>
      <c r="L70" s="2">
        <f t="shared" si="17"/>
        <v>10</v>
      </c>
      <c r="M70" s="2">
        <f>VLOOKUP(J70,$B$15:$E$32,3,0)</f>
        <v>130</v>
      </c>
      <c r="N70" s="5">
        <f t="shared" si="18"/>
        <v>1300</v>
      </c>
      <c r="O70" s="2"/>
    </row>
    <row r="71" spans="9:15" ht="18" x14ac:dyDescent="0.35">
      <c r="I71" s="2" t="s">
        <v>243</v>
      </c>
      <c r="J71" s="2" t="s">
        <v>229</v>
      </c>
      <c r="K71" s="2" t="s">
        <v>233</v>
      </c>
      <c r="L71" s="2">
        <f t="shared" si="17"/>
        <v>10</v>
      </c>
      <c r="M71" s="2">
        <f t="shared" ref="M71" si="19">VLOOKUP(J71,$B$4:$E$8,3,0)</f>
        <v>65</v>
      </c>
      <c r="N71" s="5">
        <f t="shared" si="18"/>
        <v>650</v>
      </c>
      <c r="O71" s="2"/>
    </row>
    <row r="72" spans="9:15" ht="18" x14ac:dyDescent="0.35">
      <c r="I72" s="8" t="s">
        <v>155</v>
      </c>
      <c r="J72" s="2"/>
      <c r="K72" s="2"/>
      <c r="L72" s="2"/>
      <c r="M72" s="2"/>
      <c r="N72" s="9">
        <f>SUM(N68:N71)</f>
        <v>6550</v>
      </c>
      <c r="O72" s="2"/>
    </row>
    <row r="73" spans="9:15" ht="18" x14ac:dyDescent="0.35">
      <c r="I73" s="10"/>
      <c r="J73" s="10"/>
      <c r="K73" s="10"/>
      <c r="L73" s="10"/>
      <c r="M73" s="10"/>
      <c r="N73" s="11"/>
      <c r="O73" s="10"/>
    </row>
    <row r="74" spans="9:15" ht="18" x14ac:dyDescent="0.35">
      <c r="I74" s="2" t="s">
        <v>236</v>
      </c>
      <c r="J74" s="2" t="s">
        <v>235</v>
      </c>
      <c r="K74" s="2" t="s">
        <v>233</v>
      </c>
      <c r="L74" s="2">
        <f>$D$10*2</f>
        <v>20</v>
      </c>
      <c r="M74" s="2">
        <f>VLOOKUP(J74,$B$4:$E$8,3,0)</f>
        <v>75</v>
      </c>
      <c r="N74" s="5">
        <f>L74*M74</f>
        <v>1500</v>
      </c>
      <c r="O74" s="2" t="s">
        <v>263</v>
      </c>
    </row>
    <row r="75" spans="9:15" ht="18" x14ac:dyDescent="0.35">
      <c r="I75" s="2" t="s">
        <v>243</v>
      </c>
      <c r="J75" s="2" t="s">
        <v>229</v>
      </c>
      <c r="K75" s="2" t="s">
        <v>233</v>
      </c>
      <c r="L75" s="2">
        <f>$D$10*2</f>
        <v>20</v>
      </c>
      <c r="M75" s="2">
        <f>VLOOKUP(J75,$B$4:$E$8,3,0)</f>
        <v>65</v>
      </c>
      <c r="N75" s="5">
        <f>L75*M75</f>
        <v>1300</v>
      </c>
      <c r="O75" s="2" t="s">
        <v>263</v>
      </c>
    </row>
    <row r="76" spans="9:15" ht="18" x14ac:dyDescent="0.35">
      <c r="I76" s="2" t="s">
        <v>245</v>
      </c>
      <c r="J76" s="2" t="s">
        <v>246</v>
      </c>
      <c r="K76" s="2" t="s">
        <v>233</v>
      </c>
      <c r="L76" s="2">
        <f>$D$10*3</f>
        <v>30</v>
      </c>
      <c r="M76" s="2">
        <f>VLOOKUP(J76,$B$15:$E$32,3,0)</f>
        <v>15</v>
      </c>
      <c r="N76" s="5">
        <f>L76*M76</f>
        <v>450</v>
      </c>
      <c r="O76" s="2"/>
    </row>
    <row r="77" spans="9:15" ht="18" x14ac:dyDescent="0.35">
      <c r="I77" s="31" t="s">
        <v>108</v>
      </c>
      <c r="J77" s="2"/>
      <c r="K77" s="2"/>
      <c r="L77" s="2"/>
      <c r="M77" s="2"/>
      <c r="N77" s="9">
        <f>SUM(N74:N76)</f>
        <v>3250</v>
      </c>
      <c r="O77" s="2"/>
    </row>
    <row r="78" spans="9:15" ht="18" x14ac:dyDescent="0.35">
      <c r="I78" s="10"/>
      <c r="J78" s="10"/>
      <c r="K78" s="10"/>
      <c r="L78" s="10"/>
      <c r="M78" s="10"/>
      <c r="N78" s="11"/>
      <c r="O78" s="10"/>
    </row>
    <row r="79" spans="9:15" ht="18" x14ac:dyDescent="0.35">
      <c r="I79" s="2" t="s">
        <v>260</v>
      </c>
      <c r="J79" s="2" t="s">
        <v>255</v>
      </c>
      <c r="K79" s="2" t="s">
        <v>233</v>
      </c>
      <c r="L79" s="2">
        <f>$D$10*1</f>
        <v>10</v>
      </c>
      <c r="M79" s="2">
        <f>VLOOKUP(J79,$B$15:$E$32,3,0)</f>
        <v>160</v>
      </c>
      <c r="N79" s="5">
        <f t="shared" ref="N79:N83" si="20">L79*M79</f>
        <v>1600</v>
      </c>
      <c r="O79" s="2"/>
    </row>
    <row r="80" spans="9:15" ht="18" x14ac:dyDescent="0.35">
      <c r="I80" s="2" t="s">
        <v>252</v>
      </c>
      <c r="J80" s="2" t="s">
        <v>253</v>
      </c>
      <c r="K80" s="2" t="s">
        <v>233</v>
      </c>
      <c r="L80" s="2">
        <f>$D$10*2</f>
        <v>20</v>
      </c>
      <c r="M80" s="2">
        <f>VLOOKUP(J80,$B$15:$E$32,3,0)</f>
        <v>150</v>
      </c>
      <c r="N80" s="5">
        <f t="shared" si="20"/>
        <v>3000</v>
      </c>
      <c r="O80" s="2"/>
    </row>
    <row r="81" spans="9:15" ht="18" x14ac:dyDescent="0.35">
      <c r="I81" s="2" t="s">
        <v>264</v>
      </c>
      <c r="J81" s="2" t="s">
        <v>259</v>
      </c>
      <c r="K81" s="2" t="s">
        <v>233</v>
      </c>
      <c r="L81" s="2">
        <f>$D$10*1</f>
        <v>10</v>
      </c>
      <c r="M81" s="2">
        <f>VLOOKUP(J81,$B$15:$E$32,3,0)</f>
        <v>120</v>
      </c>
      <c r="N81" s="5">
        <f t="shared" si="20"/>
        <v>1200</v>
      </c>
      <c r="O81" s="2"/>
    </row>
    <row r="82" spans="9:15" ht="18" x14ac:dyDescent="0.35">
      <c r="I82" s="2" t="s">
        <v>265</v>
      </c>
      <c r="J82" s="2" t="s">
        <v>261</v>
      </c>
      <c r="K82" s="2" t="s">
        <v>233</v>
      </c>
      <c r="L82" s="2">
        <f>$D$10*1</f>
        <v>10</v>
      </c>
      <c r="M82" s="2">
        <f>VLOOKUP(J82,$B$15:$E$32,3,0)</f>
        <v>130</v>
      </c>
      <c r="N82" s="5">
        <f t="shared" si="20"/>
        <v>1300</v>
      </c>
      <c r="O82" s="2"/>
    </row>
    <row r="83" spans="9:15" ht="18" x14ac:dyDescent="0.35">
      <c r="I83" s="2" t="s">
        <v>243</v>
      </c>
      <c r="J83" s="2" t="s">
        <v>229</v>
      </c>
      <c r="K83" s="2" t="s">
        <v>233</v>
      </c>
      <c r="L83" s="2">
        <f>$D$10*1</f>
        <v>10</v>
      </c>
      <c r="M83" s="2">
        <f>VLOOKUP(J83,$B$4:$E$8,3,0)</f>
        <v>65</v>
      </c>
      <c r="N83" s="5">
        <f t="shared" si="20"/>
        <v>650</v>
      </c>
      <c r="O83" s="2" t="s">
        <v>308</v>
      </c>
    </row>
    <row r="84" spans="9:15" ht="18" x14ac:dyDescent="0.35">
      <c r="I84" s="31" t="s">
        <v>125</v>
      </c>
      <c r="J84" s="2"/>
      <c r="K84" s="2"/>
      <c r="L84" s="2"/>
      <c r="M84" s="2"/>
      <c r="N84" s="9">
        <f>SUM(N79:N83)</f>
        <v>7750</v>
      </c>
      <c r="O84" s="2"/>
    </row>
    <row r="85" spans="9:15" ht="18" x14ac:dyDescent="0.35">
      <c r="I85" s="10"/>
      <c r="J85" s="10"/>
      <c r="K85" s="10"/>
      <c r="L85" s="10"/>
      <c r="M85" s="10"/>
      <c r="N85" s="11"/>
      <c r="O85" s="10"/>
    </row>
    <row r="86" spans="9:15" ht="18" x14ac:dyDescent="0.35">
      <c r="I86" s="2" t="s">
        <v>260</v>
      </c>
      <c r="J86" s="2" t="s">
        <v>255</v>
      </c>
      <c r="K86" s="2" t="s">
        <v>233</v>
      </c>
      <c r="L86" s="2">
        <f>$D$10*1</f>
        <v>10</v>
      </c>
      <c r="M86" s="2">
        <f>VLOOKUP(J86,$B$15:$E$32,3,0)</f>
        <v>160</v>
      </c>
      <c r="N86" s="5">
        <f t="shared" ref="N86:N91" si="21">L86*M86</f>
        <v>1600</v>
      </c>
      <c r="O86" s="2"/>
    </row>
    <row r="87" spans="9:15" ht="18" x14ac:dyDescent="0.35">
      <c r="I87" s="2" t="s">
        <v>309</v>
      </c>
      <c r="J87" s="2" t="s">
        <v>258</v>
      </c>
      <c r="K87" s="2" t="s">
        <v>233</v>
      </c>
      <c r="L87" s="2">
        <f>$D$10*1</f>
        <v>10</v>
      </c>
      <c r="M87" s="2">
        <f>VLOOKUP(J87,$B$15:$E$32,3,0)/$D$10</f>
        <v>15</v>
      </c>
      <c r="N87" s="5">
        <f t="shared" si="21"/>
        <v>150</v>
      </c>
      <c r="O87" s="2"/>
    </row>
    <row r="88" spans="9:15" ht="18" x14ac:dyDescent="0.35">
      <c r="I88" s="2" t="s">
        <v>252</v>
      </c>
      <c r="J88" s="2" t="s">
        <v>253</v>
      </c>
      <c r="K88" s="2" t="s">
        <v>233</v>
      </c>
      <c r="L88" s="2">
        <f>$D$10*2</f>
        <v>20</v>
      </c>
      <c r="M88" s="2">
        <f>VLOOKUP(J88,$B$15:$E$32,3,0)</f>
        <v>150</v>
      </c>
      <c r="N88" s="5">
        <f t="shared" si="21"/>
        <v>3000</v>
      </c>
      <c r="O88" s="2"/>
    </row>
    <row r="89" spans="9:15" ht="18" x14ac:dyDescent="0.35">
      <c r="I89" s="2" t="s">
        <v>243</v>
      </c>
      <c r="J89" s="2" t="s">
        <v>229</v>
      </c>
      <c r="K89" s="2" t="s">
        <v>233</v>
      </c>
      <c r="L89" s="2">
        <f>$D$10*2</f>
        <v>20</v>
      </c>
      <c r="M89" s="2">
        <f>VLOOKUP(J89,$B$4:$E$8,3,0)</f>
        <v>65</v>
      </c>
      <c r="N89" s="5">
        <f t="shared" si="21"/>
        <v>1300</v>
      </c>
      <c r="O89" s="2"/>
    </row>
    <row r="90" spans="9:15" ht="18" x14ac:dyDescent="0.35">
      <c r="I90" s="2" t="s">
        <v>264</v>
      </c>
      <c r="J90" s="2" t="s">
        <v>259</v>
      </c>
      <c r="K90" s="2" t="s">
        <v>233</v>
      </c>
      <c r="L90" s="2">
        <f>$D$10*1</f>
        <v>10</v>
      </c>
      <c r="M90" s="2">
        <f>VLOOKUP(J90,$B$15:$E$32,3,0)</f>
        <v>120</v>
      </c>
      <c r="N90" s="5">
        <f t="shared" si="21"/>
        <v>1200</v>
      </c>
      <c r="O90" s="2"/>
    </row>
    <row r="91" spans="9:15" ht="18" x14ac:dyDescent="0.35">
      <c r="I91" s="2" t="s">
        <v>265</v>
      </c>
      <c r="J91" s="2" t="s">
        <v>261</v>
      </c>
      <c r="K91" s="2" t="s">
        <v>233</v>
      </c>
      <c r="L91" s="2">
        <f>$D$10*1</f>
        <v>10</v>
      </c>
      <c r="M91" s="2">
        <f>VLOOKUP(J91,$B$15:$E$32,3,0)</f>
        <v>130</v>
      </c>
      <c r="N91" s="5">
        <f t="shared" si="21"/>
        <v>1300</v>
      </c>
      <c r="O91" s="2"/>
    </row>
    <row r="92" spans="9:15" ht="18" x14ac:dyDescent="0.35">
      <c r="I92" s="31" t="s">
        <v>130</v>
      </c>
      <c r="J92" s="2"/>
      <c r="K92" s="2"/>
      <c r="L92" s="2"/>
      <c r="M92" s="2"/>
      <c r="N92" s="9">
        <f>SUM(N86:N91)</f>
        <v>8550</v>
      </c>
      <c r="O92" s="2"/>
    </row>
    <row r="93" spans="9:15" ht="18" x14ac:dyDescent="0.35">
      <c r="I93" s="10"/>
      <c r="J93" s="10"/>
      <c r="K93" s="10"/>
      <c r="L93" s="10"/>
      <c r="M93" s="10"/>
      <c r="N93" s="11"/>
      <c r="O93" s="10"/>
    </row>
    <row r="94" spans="9:15" ht="18" x14ac:dyDescent="0.35">
      <c r="I94" s="2" t="s">
        <v>303</v>
      </c>
      <c r="J94" s="2" t="s">
        <v>165</v>
      </c>
      <c r="K94" s="2" t="s">
        <v>233</v>
      </c>
      <c r="L94" s="2">
        <f t="shared" ref="L94:L95" si="22">$D$10*1</f>
        <v>10</v>
      </c>
      <c r="M94" s="2">
        <f>VLOOKUP(J94,$B$15:$E$32,3,0)</f>
        <v>750</v>
      </c>
      <c r="N94" s="5">
        <f t="shared" ref="N94:N99" si="23">L94*M94</f>
        <v>7500</v>
      </c>
      <c r="O94" s="2"/>
    </row>
    <row r="95" spans="9:15" ht="18" x14ac:dyDescent="0.35">
      <c r="I95" s="2" t="s">
        <v>294</v>
      </c>
      <c r="J95" s="2" t="s">
        <v>295</v>
      </c>
      <c r="K95" s="2" t="s">
        <v>257</v>
      </c>
      <c r="L95" s="2">
        <f t="shared" si="22"/>
        <v>10</v>
      </c>
      <c r="M95" s="2">
        <f>VLOOKUP(J95,$B$15:$E$32,3,0)/$D$10</f>
        <v>48</v>
      </c>
      <c r="N95" s="5">
        <f t="shared" si="23"/>
        <v>480</v>
      </c>
      <c r="O95" s="2"/>
    </row>
    <row r="96" spans="9:15" ht="18" x14ac:dyDescent="0.35">
      <c r="I96" s="2" t="s">
        <v>296</v>
      </c>
      <c r="J96" s="2" t="s">
        <v>235</v>
      </c>
      <c r="K96" s="2" t="s">
        <v>233</v>
      </c>
      <c r="L96" s="2">
        <f>$D$10*4</f>
        <v>40</v>
      </c>
      <c r="M96" s="2">
        <f t="shared" ref="M96:M97" si="24">VLOOKUP(J96,$B$4:$E$8,3,0)</f>
        <v>75</v>
      </c>
      <c r="N96" s="5">
        <f t="shared" si="23"/>
        <v>3000</v>
      </c>
      <c r="O96" s="2" t="s">
        <v>284</v>
      </c>
    </row>
    <row r="97" spans="9:15" ht="18" x14ac:dyDescent="0.35">
      <c r="I97" s="2" t="s">
        <v>243</v>
      </c>
      <c r="J97" s="2" t="s">
        <v>229</v>
      </c>
      <c r="K97" s="2" t="s">
        <v>233</v>
      </c>
      <c r="L97" s="2">
        <f>$D$10*2</f>
        <v>20</v>
      </c>
      <c r="M97" s="2">
        <f t="shared" si="24"/>
        <v>65</v>
      </c>
      <c r="N97" s="5">
        <f t="shared" si="23"/>
        <v>1300</v>
      </c>
      <c r="O97" s="2" t="s">
        <v>263</v>
      </c>
    </row>
    <row r="98" spans="9:15" ht="18" x14ac:dyDescent="0.35">
      <c r="I98" s="2" t="s">
        <v>271</v>
      </c>
      <c r="J98" s="2" t="s">
        <v>271</v>
      </c>
      <c r="K98" s="2" t="s">
        <v>233</v>
      </c>
      <c r="L98" s="2">
        <f>$D$10*3</f>
        <v>30</v>
      </c>
      <c r="M98" s="2">
        <f>VLOOKUP(J98,$B$15:$E$32,3,0)</f>
        <v>12</v>
      </c>
      <c r="N98" s="5">
        <f t="shared" si="23"/>
        <v>360</v>
      </c>
      <c r="O98" s="2"/>
    </row>
    <row r="99" spans="9:15" ht="18" x14ac:dyDescent="0.35">
      <c r="I99" s="2" t="s">
        <v>246</v>
      </c>
      <c r="J99" s="2" t="s">
        <v>246</v>
      </c>
      <c r="K99" s="2" t="s">
        <v>233</v>
      </c>
      <c r="L99" s="2">
        <f>$D$10*3</f>
        <v>30</v>
      </c>
      <c r="M99" s="2">
        <f>VLOOKUP(J99,$B$15:$E$32,3,0)</f>
        <v>15</v>
      </c>
      <c r="N99" s="5">
        <f t="shared" si="23"/>
        <v>450</v>
      </c>
      <c r="O99" s="2"/>
    </row>
    <row r="100" spans="9:15" ht="18" x14ac:dyDescent="0.35">
      <c r="I100" s="31" t="s">
        <v>147</v>
      </c>
      <c r="J100" s="2"/>
      <c r="K100" s="2"/>
      <c r="L100" s="2"/>
      <c r="M100" s="2"/>
      <c r="N100" s="9">
        <f>SUM(N94:N99)</f>
        <v>13090</v>
      </c>
      <c r="O100" s="2"/>
    </row>
    <row r="101" spans="9:15" ht="18" x14ac:dyDescent="0.35">
      <c r="I101" s="10"/>
      <c r="J101" s="10"/>
      <c r="K101" s="10"/>
      <c r="L101" s="10"/>
      <c r="M101" s="10"/>
      <c r="N101" s="11"/>
      <c r="O101" s="10"/>
    </row>
  </sheetData>
  <sheetProtection algorithmName="SHA-512" hashValue="UXKkQfS1qAjlfKSP+M6w3Lx/l7O0BGdY9RWnGD9CZSkb55JUKiyoAzbUFEYyPV3SKvz80DgKL8UWmOLLXXRQPw==" saltValue="mXu4BwGLlT2FBEOj9xD5QQ==" spinCount="100000" sheet="1" objects="1" scenarios="1"/>
  <mergeCells count="7">
    <mergeCell ref="O36:O37"/>
    <mergeCell ref="I2:O2"/>
    <mergeCell ref="B33:D33"/>
    <mergeCell ref="B46:D46"/>
    <mergeCell ref="B2:E2"/>
    <mergeCell ref="C4:C8"/>
    <mergeCell ref="B13:E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9678FCA6BF8C4F96071AD0C3DC7188" ma:contentTypeVersion="18" ma:contentTypeDescription="Create a new document." ma:contentTypeScope="" ma:versionID="5c9bb0623f45b4e2e3d2e30438d5c5ae">
  <xsd:schema xmlns:xsd="http://www.w3.org/2001/XMLSchema" xmlns:xs="http://www.w3.org/2001/XMLSchema" xmlns:p="http://schemas.microsoft.com/office/2006/metadata/properties" xmlns:ns2="5f09b715-9c8c-4019-a5ba-ddee52b25758" xmlns:ns3="67bc3c54-1dd9-4f66-a456-139d6b3611c9" targetNamespace="http://schemas.microsoft.com/office/2006/metadata/properties" ma:root="true" ma:fieldsID="2615a678c7a45ad5792ff45b61a4a6f2" ns2:_="" ns3:_="">
    <xsd:import namespace="5f09b715-9c8c-4019-a5ba-ddee52b25758"/>
    <xsd:import namespace="67bc3c54-1dd9-4f66-a456-139d6b3611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DateTim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9b715-9c8c-4019-a5ba-ddee52b25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DateTime" ma:index="20" nillable="true" ma:displayName="Date Time" ma:format="DateOnly" ma:internalName="DateTime">
      <xsd:simpleType>
        <xsd:restriction base="dms:DateTime"/>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c3c54-1dd9-4f66-a456-139d6b3611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9e8256c-3794-40a0-af7b-d6cd58b2b811}" ma:internalName="TaxCatchAll" ma:showField="CatchAllData" ma:web="67bc3c54-1dd9-4f66-a456-139d6b3611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D96DDD-9180-4478-A17F-61496FE860C4}">
  <ds:schemaRefs>
    <ds:schemaRef ds:uri="http://schemas.microsoft.com/sharepoint/v3/contenttype/forms"/>
  </ds:schemaRefs>
</ds:datastoreItem>
</file>

<file path=customXml/itemProps2.xml><?xml version="1.0" encoding="utf-8"?>
<ds:datastoreItem xmlns:ds="http://schemas.openxmlformats.org/officeDocument/2006/customXml" ds:itemID="{A7ED193F-54F7-4701-80A8-70C4EB151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09b715-9c8c-4019-a5ba-ddee52b25758"/>
    <ds:schemaRef ds:uri="67bc3c54-1dd9-4f66-a456-139d6b361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CALCULATOR</vt:lpstr>
      <vt:lpstr>ASSUMPTIONS 1</vt:lpstr>
      <vt:lpstr>ASSUMPTIONS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 Yilmaz</dc:creator>
  <cp:keywords/>
  <dc:description/>
  <cp:lastModifiedBy>Matt Riley</cp:lastModifiedBy>
  <cp:revision/>
  <dcterms:created xsi:type="dcterms:W3CDTF">2023-04-05T23:12:32Z</dcterms:created>
  <dcterms:modified xsi:type="dcterms:W3CDTF">2023-10-31T01:05:37Z</dcterms:modified>
  <cp:category/>
  <cp:contentStatus/>
</cp:coreProperties>
</file>