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environmentnswgov.sharepoint.com/sites/MST_DPE_EnergyandResourcesPolicy/Shared Documents/09. Energy - Other/Energy Policy Framework 2023/Exhibition Drafts/"/>
    </mc:Choice>
  </mc:AlternateContent>
  <xr:revisionPtr revIDLastSave="0" documentId="8_{7C465C45-933A-4FAE-ADA7-569E1E3353DC}" xr6:coauthVersionLast="47" xr6:coauthVersionMax="47" xr10:uidLastSave="{00000000-0000-0000-0000-000000000000}"/>
  <workbookProtection workbookAlgorithmName="SHA-512" workbookHashValue="SPZ3g9TmqgUTbT2JuNG5f6FA7OGVSdxmjSV7KLS50EzmPNOcor6G3RE4qgbKVJcvfvP6vrQMhh+viEuSqZYx8w==" workbookSaltValue="woFkJAgrTq/EUUnOQeZzvg==" workbookSpinCount="100000" lockStructure="1"/>
  <bookViews>
    <workbookView xWindow="19200" yWindow="0" windowWidth="19200" windowHeight="21000" xr2:uid="{A4534FBA-0F2E-4903-81F9-C22FB3494B78}"/>
  </bookViews>
  <sheets>
    <sheet name="HOW TO USE" sheetId="8" r:id="rId1"/>
    <sheet name="CALCULATOR" sheetId="5" r:id="rId2"/>
    <sheet name="ASSUMPTIONS 1" sheetId="6" r:id="rId3"/>
    <sheet name="ASSUMPTIONS 2" sheetId="7"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 i="5" l="1"/>
  <c r="F6" i="6" s="1"/>
  <c r="K6" i="5"/>
  <c r="K7" i="5"/>
  <c r="K8" i="5"/>
  <c r="K9" i="5"/>
  <c r="K10" i="5"/>
  <c r="K11" i="5"/>
  <c r="K12" i="5"/>
  <c r="K13" i="5"/>
  <c r="K4" i="5"/>
  <c r="F32" i="6" s="1"/>
  <c r="F33" i="6" s="1"/>
  <c r="F34" i="6" s="1"/>
  <c r="E24" i="5"/>
  <c r="F12" i="6" s="1"/>
  <c r="F13" i="6" s="1"/>
  <c r="F14" i="6" s="1"/>
  <c r="F36" i="6"/>
  <c r="F16" i="6"/>
  <c r="F8" i="6"/>
  <c r="F7" i="6"/>
  <c r="F27" i="6" l="1"/>
  <c r="F30" i="6" s="1"/>
  <c r="I65" i="6"/>
  <c r="I66" i="6"/>
  <c r="I67" i="6"/>
  <c r="I68" i="6"/>
  <c r="I69" i="6"/>
  <c r="I70" i="6"/>
  <c r="I71" i="6"/>
  <c r="I64" i="6"/>
  <c r="G65" i="6"/>
  <c r="G66" i="6"/>
  <c r="G67" i="6"/>
  <c r="G68" i="6"/>
  <c r="G69" i="6"/>
  <c r="G64" i="6"/>
  <c r="N71" i="6"/>
  <c r="F28" i="6" l="1"/>
  <c r="F31" i="6" s="1"/>
  <c r="D51" i="7"/>
  <c r="D38" i="7"/>
  <c r="B77" i="7" l="1"/>
  <c r="C77" i="7" s="1"/>
  <c r="E10" i="5" l="1"/>
  <c r="F21" i="6"/>
  <c r="G13" i="6"/>
  <c r="I12" i="6"/>
  <c r="G24" i="6"/>
  <c r="F38" i="6"/>
  <c r="I13" i="6" l="1"/>
  <c r="J13" i="6" s="1"/>
  <c r="L100" i="7"/>
  <c r="L99" i="7"/>
  <c r="M98" i="7"/>
  <c r="L98" i="7"/>
  <c r="M100" i="7"/>
  <c r="M99" i="7"/>
  <c r="N98" i="7" l="1"/>
  <c r="F23" i="6"/>
  <c r="I23" i="6" s="1"/>
  <c r="F20" i="6"/>
  <c r="F22" i="6" s="1"/>
  <c r="F39" i="6"/>
  <c r="I38" i="6"/>
  <c r="N100" i="7"/>
  <c r="N99" i="7"/>
  <c r="L11" i="7"/>
  <c r="F25" i="6" l="1"/>
  <c r="F24" i="6" s="1"/>
  <c r="J24" i="6" s="1"/>
  <c r="F26" i="6"/>
  <c r="I21" i="6"/>
  <c r="N101" i="7"/>
  <c r="E47" i="6"/>
  <c r="J47" i="6" s="1"/>
  <c r="F50" i="6"/>
  <c r="J50" i="6" s="1"/>
  <c r="J49" i="6"/>
  <c r="J48" i="6"/>
  <c r="H10" i="6"/>
  <c r="G11" i="6"/>
  <c r="M93" i="7"/>
  <c r="M94" i="7"/>
  <c r="L94" i="7"/>
  <c r="M95" i="7"/>
  <c r="L95" i="7"/>
  <c r="L93" i="7"/>
  <c r="I35" i="6"/>
  <c r="F37" i="6"/>
  <c r="I32" i="6"/>
  <c r="G31" i="6"/>
  <c r="G29" i="6"/>
  <c r="J29" i="6" s="1"/>
  <c r="D28" i="6"/>
  <c r="D52" i="7"/>
  <c r="D60" i="7"/>
  <c r="D65" i="7" s="1"/>
  <c r="D63" i="7"/>
  <c r="D64" i="7" s="1"/>
  <c r="M89" i="7"/>
  <c r="M90" i="7"/>
  <c r="L90" i="7"/>
  <c r="M88" i="7"/>
  <c r="L88" i="7"/>
  <c r="H20" i="6"/>
  <c r="H22" i="6" s="1"/>
  <c r="D16" i="6"/>
  <c r="M84" i="7"/>
  <c r="M85" i="7"/>
  <c r="L85" i="7"/>
  <c r="L84" i="7"/>
  <c r="M83" i="7"/>
  <c r="L83" i="7"/>
  <c r="L40" i="7"/>
  <c r="F9" i="6"/>
  <c r="I9" i="6" s="1"/>
  <c r="L79" i="7"/>
  <c r="M80" i="7"/>
  <c r="L80" i="7"/>
  <c r="M79" i="7"/>
  <c r="M78" i="7"/>
  <c r="L78" i="7"/>
  <c r="M75" i="7"/>
  <c r="L75" i="7"/>
  <c r="M74" i="7"/>
  <c r="L74" i="7"/>
  <c r="M73" i="7"/>
  <c r="L73" i="7"/>
  <c r="L39" i="7"/>
  <c r="I6" i="6"/>
  <c r="L4" i="7"/>
  <c r="F5" i="6"/>
  <c r="I5" i="6" s="1"/>
  <c r="M72" i="7"/>
  <c r="L72" i="7"/>
  <c r="M69" i="7"/>
  <c r="L69" i="7"/>
  <c r="M68" i="7"/>
  <c r="L68" i="7"/>
  <c r="M67" i="7"/>
  <c r="L67" i="7"/>
  <c r="M66" i="7"/>
  <c r="L66" i="7"/>
  <c r="M65" i="7"/>
  <c r="L65" i="7"/>
  <c r="M64" i="7"/>
  <c r="L64" i="7"/>
  <c r="M61" i="7"/>
  <c r="L61" i="7"/>
  <c r="M60" i="7"/>
  <c r="L60" i="7"/>
  <c r="M59" i="7"/>
  <c r="L59" i="7"/>
  <c r="M56" i="7"/>
  <c r="L56" i="7"/>
  <c r="M55" i="7"/>
  <c r="L55" i="7"/>
  <c r="M54" i="7"/>
  <c r="L54" i="7"/>
  <c r="M53" i="7"/>
  <c r="L53" i="7"/>
  <c r="M50" i="7"/>
  <c r="L50" i="7"/>
  <c r="M49" i="7"/>
  <c r="L49" i="7"/>
  <c r="M48" i="7"/>
  <c r="M45" i="7"/>
  <c r="L45" i="7"/>
  <c r="M44" i="7"/>
  <c r="L44" i="7"/>
  <c r="M43" i="7"/>
  <c r="M40" i="7"/>
  <c r="M39" i="7"/>
  <c r="M38" i="7"/>
  <c r="L38" i="7"/>
  <c r="L37" i="7"/>
  <c r="M37" i="7"/>
  <c r="M34" i="7"/>
  <c r="L34" i="7"/>
  <c r="M33" i="7"/>
  <c r="L33" i="7"/>
  <c r="M32" i="7"/>
  <c r="L32" i="7"/>
  <c r="M31" i="7"/>
  <c r="L31" i="7"/>
  <c r="M30" i="7"/>
  <c r="L30" i="7"/>
  <c r="M27" i="7"/>
  <c r="L27" i="7"/>
  <c r="M26" i="7"/>
  <c r="L26" i="7"/>
  <c r="M25" i="7"/>
  <c r="L25" i="7"/>
  <c r="M24" i="7"/>
  <c r="L24" i="7"/>
  <c r="M23" i="7"/>
  <c r="L23" i="7"/>
  <c r="M22" i="7"/>
  <c r="L22" i="7"/>
  <c r="M18" i="7"/>
  <c r="L18" i="7"/>
  <c r="M17" i="7"/>
  <c r="L17" i="7"/>
  <c r="M16" i="7"/>
  <c r="L16" i="7"/>
  <c r="M15" i="7"/>
  <c r="L15" i="7"/>
  <c r="M14" i="7"/>
  <c r="L14" i="7"/>
  <c r="M11" i="7"/>
  <c r="M10" i="7"/>
  <c r="L10" i="7"/>
  <c r="M9" i="7"/>
  <c r="L9" i="7"/>
  <c r="M8" i="7"/>
  <c r="L8" i="7"/>
  <c r="M7" i="7"/>
  <c r="L7" i="7"/>
  <c r="M4" i="7"/>
  <c r="J37" i="6" l="1"/>
  <c r="N33" i="7"/>
  <c r="I28" i="6"/>
  <c r="N16" i="7"/>
  <c r="N94" i="7"/>
  <c r="E51" i="6"/>
  <c r="J51" i="6" s="1"/>
  <c r="F10" i="6"/>
  <c r="F11" i="6" s="1"/>
  <c r="N90" i="7"/>
  <c r="N85" i="7"/>
  <c r="N80" i="7"/>
  <c r="N79" i="7"/>
  <c r="N93" i="7"/>
  <c r="N95" i="7"/>
  <c r="F29" i="6"/>
  <c r="N88" i="7"/>
  <c r="D68" i="7"/>
  <c r="D69" i="7" s="1"/>
  <c r="L89" i="7" s="1"/>
  <c r="N89" i="7" s="1"/>
  <c r="N84" i="7"/>
  <c r="N54" i="7"/>
  <c r="N83" i="7"/>
  <c r="N56" i="7"/>
  <c r="N40" i="7"/>
  <c r="N78" i="7"/>
  <c r="N64" i="7"/>
  <c r="N34" i="7"/>
  <c r="N50" i="7"/>
  <c r="N73" i="7"/>
  <c r="N74" i="7"/>
  <c r="N27" i="7"/>
  <c r="N75" i="7"/>
  <c r="N26" i="7"/>
  <c r="N68" i="7"/>
  <c r="N49" i="7"/>
  <c r="N9" i="7"/>
  <c r="N65" i="7"/>
  <c r="N14" i="7"/>
  <c r="N15" i="7"/>
  <c r="N53" i="7"/>
  <c r="N17" i="7"/>
  <c r="N69" i="7"/>
  <c r="N18" i="7"/>
  <c r="N31" i="7"/>
  <c r="N72" i="7"/>
  <c r="N61" i="7"/>
  <c r="N67" i="7"/>
  <c r="N38" i="7"/>
  <c r="N7" i="7"/>
  <c r="N39" i="7"/>
  <c r="N22" i="7"/>
  <c r="N11" i="7"/>
  <c r="N66" i="7"/>
  <c r="N8" i="7"/>
  <c r="N23" i="7"/>
  <c r="N32" i="7"/>
  <c r="N59" i="7"/>
  <c r="N60" i="7"/>
  <c r="D39" i="7"/>
  <c r="D42" i="7" s="1"/>
  <c r="D43" i="7" s="1"/>
  <c r="L43" i="7" s="1"/>
  <c r="N43" i="7" s="1"/>
  <c r="N24" i="7"/>
  <c r="N44" i="7"/>
  <c r="N10" i="7"/>
  <c r="N55" i="7"/>
  <c r="N30" i="7"/>
  <c r="N25" i="7"/>
  <c r="N45" i="7"/>
  <c r="N4" i="7"/>
  <c r="N5" i="7" s="1"/>
  <c r="D55" i="7"/>
  <c r="D56" i="7" s="1"/>
  <c r="L48" i="7" s="1"/>
  <c r="N48" i="7" s="1"/>
  <c r="N37" i="7"/>
  <c r="I7" i="6"/>
  <c r="F69" i="6" l="1"/>
  <c r="J69" i="6" s="1"/>
  <c r="F68" i="6"/>
  <c r="J68" i="6" s="1"/>
  <c r="F67" i="6"/>
  <c r="F66" i="6"/>
  <c r="J66" i="6" s="1"/>
  <c r="F65" i="6"/>
  <c r="J65" i="6" s="1"/>
  <c r="F64" i="6"/>
  <c r="J64" i="6" s="1"/>
  <c r="J67" i="6"/>
  <c r="F15" i="6"/>
  <c r="I27" i="6"/>
  <c r="J30" i="6"/>
  <c r="I8" i="6"/>
  <c r="I39" i="6"/>
  <c r="I10" i="6"/>
  <c r="I11" i="6"/>
  <c r="J11" i="6" s="1"/>
  <c r="N81" i="7"/>
  <c r="G8" i="6" s="1"/>
  <c r="N91" i="7"/>
  <c r="G22" i="6" s="1"/>
  <c r="N96" i="7"/>
  <c r="J34" i="6"/>
  <c r="I33" i="6"/>
  <c r="I20" i="6"/>
  <c r="F19" i="6"/>
  <c r="G5" i="6"/>
  <c r="J5" i="6" s="1"/>
  <c r="N86" i="7"/>
  <c r="G20" i="6" s="1"/>
  <c r="N51" i="7"/>
  <c r="G33" i="6" s="1"/>
  <c r="N76" i="7"/>
  <c r="N62" i="7"/>
  <c r="N41" i="7"/>
  <c r="G9" i="6" s="1"/>
  <c r="J9" i="6" s="1"/>
  <c r="N57" i="7"/>
  <c r="N70" i="7"/>
  <c r="G28" i="6" s="1"/>
  <c r="J28" i="6" s="1"/>
  <c r="N20" i="7"/>
  <c r="G27" i="6" s="1"/>
  <c r="N12" i="7"/>
  <c r="N28" i="7"/>
  <c r="G32" i="6" s="1"/>
  <c r="J32" i="6" s="1"/>
  <c r="N35" i="7"/>
  <c r="G35" i="6" s="1"/>
  <c r="J35" i="6" s="1"/>
  <c r="N46" i="7"/>
  <c r="G23" i="6" s="1"/>
  <c r="J23" i="6" s="1"/>
  <c r="G16" i="6" l="1"/>
  <c r="G21" i="6"/>
  <c r="J21" i="6" s="1"/>
  <c r="G10" i="6"/>
  <c r="J10" i="6" s="1"/>
  <c r="G12" i="6"/>
  <c r="J12" i="6" s="1"/>
  <c r="F70" i="6"/>
  <c r="J70" i="6" s="1"/>
  <c r="J31" i="6"/>
  <c r="G39" i="6"/>
  <c r="J39" i="6" s="1"/>
  <c r="G38" i="6"/>
  <c r="J38" i="6" s="1"/>
  <c r="J27" i="6"/>
  <c r="G17" i="6"/>
  <c r="G36" i="6"/>
  <c r="J36" i="6" s="1"/>
  <c r="J33" i="6"/>
  <c r="I22" i="6"/>
  <c r="J22" i="6" s="1"/>
  <c r="I16" i="6"/>
  <c r="F17" i="6"/>
  <c r="I17" i="6" s="1"/>
  <c r="F18" i="6"/>
  <c r="J20" i="6"/>
  <c r="G6" i="6"/>
  <c r="J6" i="6" s="1"/>
  <c r="J8" i="6"/>
  <c r="G7" i="6"/>
  <c r="J7" i="6" s="1"/>
  <c r="J18" i="6" l="1"/>
  <c r="F71" i="6"/>
  <c r="J71" i="6" s="1"/>
  <c r="J73" i="6" s="1"/>
  <c r="E43" i="5" s="1"/>
  <c r="J16" i="6"/>
  <c r="J17" i="6"/>
  <c r="J40" i="6" l="1"/>
  <c r="J42" i="6" l="1"/>
  <c r="F52" i="6" s="1"/>
  <c r="J52" i="6" s="1"/>
  <c r="J53" i="6" s="1"/>
  <c r="J55" i="6" s="1"/>
  <c r="J56" i="6" s="1"/>
  <c r="J41" i="6"/>
  <c r="J57" i="6" l="1"/>
  <c r="J58" i="6" l="1"/>
  <c r="J59" i="6" s="1"/>
  <c r="E42" i="5" l="1"/>
  <c r="E45" i="5" s="1"/>
  <c r="J76" i="6"/>
  <c r="E46" i="5" s="1"/>
  <c r="E47" i="5" l="1"/>
  <c r="E44" i="5"/>
  <c r="E48" i="5" s="1"/>
</calcChain>
</file>

<file path=xl/sharedStrings.xml><?xml version="1.0" encoding="utf-8"?>
<sst xmlns="http://schemas.openxmlformats.org/spreadsheetml/2006/main" count="701" uniqueCount="293">
  <si>
    <t>SECTION</t>
  </si>
  <si>
    <t>DESCRIPTION</t>
  </si>
  <si>
    <t>UNIT</t>
  </si>
  <si>
    <t>QUANTITY</t>
  </si>
  <si>
    <t>COMMENT</t>
  </si>
  <si>
    <t>TRIGGER</t>
  </si>
  <si>
    <t>Overall Size of Solar Farm</t>
  </si>
  <si>
    <t>MW</t>
  </si>
  <si>
    <t>Input overall size of power Generation</t>
  </si>
  <si>
    <t>Haul Road Removal</t>
  </si>
  <si>
    <t>Yes</t>
  </si>
  <si>
    <t>Panels</t>
  </si>
  <si>
    <t>Development Footprint</t>
  </si>
  <si>
    <t>ha</t>
  </si>
  <si>
    <t>Underground Cable/Pit Removal</t>
  </si>
  <si>
    <t>Number of Panels</t>
  </si>
  <si>
    <t>each</t>
  </si>
  <si>
    <t>Silcon Recovery</t>
  </si>
  <si>
    <t>Panel Weight</t>
  </si>
  <si>
    <t>kg</t>
  </si>
  <si>
    <t>Aluminium and Alloy Recovery</t>
  </si>
  <si>
    <t>Area of Panels</t>
  </si>
  <si>
    <t>Copper and Alloy Recovery</t>
  </si>
  <si>
    <t>Foundation</t>
  </si>
  <si>
    <t>Foundation Type</t>
  </si>
  <si>
    <t>Concrete Footing</t>
  </si>
  <si>
    <t>Select foundationType</t>
  </si>
  <si>
    <t>Polymer and Plastics Recovery</t>
  </si>
  <si>
    <t>Footings</t>
  </si>
  <si>
    <t>m3</t>
  </si>
  <si>
    <t>It is assumed that size of the footing is 0.5m wide, 0.5m long and 1m deep</t>
  </si>
  <si>
    <t>Glass Recovery</t>
  </si>
  <si>
    <t>Number of Piles</t>
  </si>
  <si>
    <t>Silver Recovery</t>
  </si>
  <si>
    <t>Cable/Pit</t>
  </si>
  <si>
    <t>Quantity of Cable Per Panel</t>
  </si>
  <si>
    <t>m</t>
  </si>
  <si>
    <t>Residual Waste</t>
  </si>
  <si>
    <t>Number of Conduits</t>
  </si>
  <si>
    <t>It is assumed that there are 4 conduits and there is 150m of conduits for each PCU</t>
  </si>
  <si>
    <t>Concrete Recovery</t>
  </si>
  <si>
    <t>Length of Conduit</t>
  </si>
  <si>
    <t>m/PCU</t>
  </si>
  <si>
    <t>Pit Intervals</t>
  </si>
  <si>
    <t>Access Track/Make Good</t>
  </si>
  <si>
    <t>Access Track</t>
  </si>
  <si>
    <t>m2</t>
  </si>
  <si>
    <t>It is assumed that every PCU has 1100m of access road and the width is 7m</t>
  </si>
  <si>
    <t>Access Road Thickness</t>
  </si>
  <si>
    <t>Topsoil</t>
  </si>
  <si>
    <t>Building</t>
  </si>
  <si>
    <t>Number of Buildings</t>
  </si>
  <si>
    <t>Mechanical Section</t>
  </si>
  <si>
    <t>PCU Panel Intervals</t>
  </si>
  <si>
    <t>panels</t>
  </si>
  <si>
    <t>Every 16,000 panels has 1 PCU</t>
  </si>
  <si>
    <t>Area of PCU Concrete Slab</t>
  </si>
  <si>
    <t xml:space="preserve"> The size size of a  PCU is 12m long  and  4m wide and the foundation size of a kiosk is 1.5m by 1.1m</t>
  </si>
  <si>
    <t>Thickness of PCU Concrete Slab</t>
  </si>
  <si>
    <t>Assumed 250mm slab</t>
  </si>
  <si>
    <t>Steel Frames Quantity</t>
  </si>
  <si>
    <t>tonne</t>
  </si>
  <si>
    <t>This item is for removing the steel frame. It is assumed that every 5m there is a column, beam and bracing</t>
  </si>
  <si>
    <t>Number of Kiosk</t>
  </si>
  <si>
    <t>Recovery</t>
  </si>
  <si>
    <t>%</t>
  </si>
  <si>
    <t>Distances</t>
  </si>
  <si>
    <t>Distance to Scrap</t>
  </si>
  <si>
    <t>km</t>
  </si>
  <si>
    <t>Distance to Landfill</t>
  </si>
  <si>
    <t>Contractor Allowance for Margin and Overheads</t>
  </si>
  <si>
    <t>Risk/Contingency Allowance</t>
  </si>
  <si>
    <t>AMOUNT</t>
  </si>
  <si>
    <t>Total Cost Exc Recovery</t>
  </si>
  <si>
    <t>$</t>
  </si>
  <si>
    <t>Recovery of Material</t>
  </si>
  <si>
    <t>Total Cost After Recovery</t>
  </si>
  <si>
    <t>Cost Per Mega Watt Exc Recovery</t>
  </si>
  <si>
    <t>$/MW</t>
  </si>
  <si>
    <t>Cost Per Mega Watt Inc Recovery</t>
  </si>
  <si>
    <t>Cost Per Panel Exc Recovery</t>
  </si>
  <si>
    <t>$/panel</t>
  </si>
  <si>
    <t>Cost Per Panel Inc Recovery</t>
  </si>
  <si>
    <t>DECOMMISSIONING OF WIND TURBINE DIRECT JOB COST</t>
  </si>
  <si>
    <t>ITEM NO</t>
  </si>
  <si>
    <t>CREW</t>
  </si>
  <si>
    <t>RATE PER UNIT</t>
  </si>
  <si>
    <t>PRODUCTIVITY PER  UNIT</t>
  </si>
  <si>
    <t>DURATION (DAYS)</t>
  </si>
  <si>
    <t>TOTAL AMOUNT ($)</t>
  </si>
  <si>
    <t>Disconnection of Site From Grid and De-energisation of Solar Plant</t>
  </si>
  <si>
    <t>Electrical Works Total</t>
  </si>
  <si>
    <t>Including removing fuses from cartridges and monitoring and data circuits</t>
  </si>
  <si>
    <t>Cable Removal</t>
  </si>
  <si>
    <t>Cable Removal Crew</t>
  </si>
  <si>
    <t>Removal of 1500m cable per hr and it is assumed that there 2.2m of cable per panel</t>
  </si>
  <si>
    <t>Removal of PCU</t>
  </si>
  <si>
    <t>Inverter Removal Crew</t>
  </si>
  <si>
    <t>Each</t>
  </si>
  <si>
    <t>Removal of Kiosk Inverter</t>
  </si>
  <si>
    <t>Kiosk Removal Crew</t>
  </si>
  <si>
    <t>Every row has kiosk transformer and it is assumed that the length of the row is 1500m and spacing between rows is 6m. The size of each kiosk is 1mx0.6mx0.3m</t>
  </si>
  <si>
    <t>Removal of Solar Panels</t>
  </si>
  <si>
    <t>Solar Crew</t>
  </si>
  <si>
    <t>It is assumed that one crew can remove 1250 panels per day</t>
  </si>
  <si>
    <t>Solar Transport Crew</t>
  </si>
  <si>
    <t>T&amp;D</t>
  </si>
  <si>
    <t>Considering the size of the panels and the size of the semi-trailer. It seems that a semi can carry up to 700 panels and this is equivalent to 19tonne. It is assumed that panel weight is 27kg</t>
  </si>
  <si>
    <t>Steel Transport</t>
  </si>
  <si>
    <t>It is assumed that 100mm C Section is used and the weight is around 3kg/m.</t>
  </si>
  <si>
    <t>Recovery of Steel</t>
  </si>
  <si>
    <t>It is assumed that every 5m there is a column, beam and bracing</t>
  </si>
  <si>
    <t>Recovery of Solar Panels</t>
  </si>
  <si>
    <t>Removal of Concrete Foundations</t>
  </si>
  <si>
    <t>It is assumed that foundation thickness is 250mm. The size size of a  PCU is 12m long  and  4m wide and the foundation size of a kiosk is 1.5m by 1.1m</t>
  </si>
  <si>
    <t>Concrete Disposal</t>
  </si>
  <si>
    <t>Concrete Disposal Crew</t>
  </si>
  <si>
    <t>Disposal Fee</t>
  </si>
  <si>
    <t>Recovery Steel</t>
  </si>
  <si>
    <t>Assumed 150kg of steel per m3 of concrete</t>
  </si>
  <si>
    <t>Removal of Panel Foundations</t>
  </si>
  <si>
    <t>Pile Removal Crew</t>
  </si>
  <si>
    <t>It is assumed that every 5m there is a pile of two rows and this is the function of number of rows</t>
  </si>
  <si>
    <t>Concrete Crew Total</t>
  </si>
  <si>
    <t>Pile Transport Crew</t>
  </si>
  <si>
    <t>It is assumed that 2m 100mm steel piles and the weight of each pile is 125kg. Hence a truck and dog can carry up to 208 piles</t>
  </si>
  <si>
    <t>Concrete Disposal Fee</t>
  </si>
  <si>
    <t xml:space="preserve">Recovery of Reo </t>
  </si>
  <si>
    <t>It is assumed that reo density is 120kg/m3</t>
  </si>
  <si>
    <t>Recovery of Piles</t>
  </si>
  <si>
    <t>It is assumed that 2m 100mm steel piles and the wieght of each pile is 125kg</t>
  </si>
  <si>
    <t>Removal of Conduits</t>
  </si>
  <si>
    <t>Conduit Crew Total</t>
  </si>
  <si>
    <t>Conduit Disposal - T&amp;D</t>
  </si>
  <si>
    <t>One T&amp;D can carry 750m of used conduit. Considering the distance total cycle time is around 8hr</t>
  </si>
  <si>
    <t>Disposal Fee - Conduit</t>
  </si>
  <si>
    <t>The weight of 50mm conduit per m is around 0.78kg and it is assumed that there 4 conduits to be removed</t>
  </si>
  <si>
    <t>Disposal Fee - Concrete</t>
  </si>
  <si>
    <t>Removal of Access Road</t>
  </si>
  <si>
    <t>Road/Crane Pad Crew</t>
  </si>
  <si>
    <t>Road Material Disposal</t>
  </si>
  <si>
    <t>Assumed 150mm thick formation</t>
  </si>
  <si>
    <t>Removal of Buildings</t>
  </si>
  <si>
    <t>Building Crew</t>
  </si>
  <si>
    <t>Assumed 3 buildings</t>
  </si>
  <si>
    <t>Dispsoal Fee</t>
  </si>
  <si>
    <t>Removal of Fencing</t>
  </si>
  <si>
    <t>General Civil Crew</t>
  </si>
  <si>
    <t>Mass of fence 3kg/m2</t>
  </si>
  <si>
    <t>Topsoiling</t>
  </si>
  <si>
    <t>Topsoil Crew</t>
  </si>
  <si>
    <t>Mobilisation</t>
  </si>
  <si>
    <t>Plant &amp; Equipment</t>
  </si>
  <si>
    <t>Disposal @ Landfill</t>
  </si>
  <si>
    <t>TOTAL DIRECT JOB COST</t>
  </si>
  <si>
    <t>`</t>
  </si>
  <si>
    <t>RATE</t>
  </si>
  <si>
    <t>Establishment of Environmental Protection</t>
  </si>
  <si>
    <t>Maintenance of Environmental Protection</t>
  </si>
  <si>
    <t>week</t>
  </si>
  <si>
    <t>Duration is assumed to be around 45weeks</t>
  </si>
  <si>
    <t>Construction of Site Office Establishment</t>
  </si>
  <si>
    <t>LS</t>
  </si>
  <si>
    <t>Construction of Site Office Demob</t>
  </si>
  <si>
    <t>Construction of Site Office recurring cost</t>
  </si>
  <si>
    <t xml:space="preserve">10000 recurring costs </t>
  </si>
  <si>
    <t xml:space="preserve">Traffic Management </t>
  </si>
  <si>
    <t>0.5% of Base Estimate</t>
  </si>
  <si>
    <t>TOTAL INDIRECT JOB COST</t>
  </si>
  <si>
    <t>Subtotal</t>
  </si>
  <si>
    <t>Uplift Margin &amp; Overheads</t>
  </si>
  <si>
    <t>Risk Allowance/Contingency</t>
  </si>
  <si>
    <t>RECOVERY OF MATERIALS</t>
  </si>
  <si>
    <t>Material type</t>
  </si>
  <si>
    <t>Proportion of Solar Panel Mass</t>
  </si>
  <si>
    <r>
      <t>Assumed pathway is to</t>
    </r>
    <r>
      <rPr>
        <b/>
        <vertAlign val="superscript"/>
        <sz val="11"/>
        <color rgb="FFFFFFFF"/>
        <rFont val="Calibri"/>
        <family val="2"/>
      </rPr>
      <t>^^</t>
    </r>
    <r>
      <rPr>
        <b/>
        <sz val="11"/>
        <color rgb="FFFFFFFF"/>
        <rFont val="Calibri"/>
        <family val="2"/>
      </rPr>
      <t>:</t>
    </r>
  </si>
  <si>
    <r>
      <t xml:space="preserve">Illustrative scrap value ($/tonne) </t>
    </r>
    <r>
      <rPr>
        <b/>
        <vertAlign val="superscript"/>
        <sz val="11"/>
        <color rgb="FFFFFFFF"/>
        <rFont val="Calibri"/>
        <family val="2"/>
      </rPr>
      <t>##</t>
    </r>
  </si>
  <si>
    <t>Silcon</t>
  </si>
  <si>
    <t>Scrap metal facility</t>
  </si>
  <si>
    <t>Aluminium and alloys</t>
  </si>
  <si>
    <t>Copper and alloys</t>
  </si>
  <si>
    <t>Polymer and Plastics</t>
  </si>
  <si>
    <t>Glass (combination of cullet &amp; fines)</t>
  </si>
  <si>
    <t>Silver</t>
  </si>
  <si>
    <t>Steel</t>
  </si>
  <si>
    <t>Landfill</t>
  </si>
  <si>
    <t>Concrete</t>
  </si>
  <si>
    <t>Overall</t>
  </si>
  <si>
    <r>
      <t xml:space="preserve">^^ for material sent to landfill, assume a </t>
    </r>
    <r>
      <rPr>
        <b/>
        <sz val="11"/>
        <color rgb="FFFF0000"/>
        <rFont val="Public Sans Light"/>
        <family val="2"/>
        <scheme val="minor"/>
      </rPr>
      <t>landfill disposal cost of $300/tonne</t>
    </r>
  </si>
  <si>
    <t>Total Recovery</t>
  </si>
  <si>
    <t>## assumed scrap values are likely to be conservative</t>
  </si>
  <si>
    <r>
      <t xml:space="preserve">** for the concrete foundations, assume all material is sent to a recovery facility – </t>
    </r>
    <r>
      <rPr>
        <b/>
        <sz val="11"/>
        <color rgb="FFFF0000"/>
        <rFont val="Public Sans Light"/>
        <family val="2"/>
        <scheme val="minor"/>
      </rPr>
      <t>scrap value is $20/tonne</t>
    </r>
  </si>
  <si>
    <t>Price Inc Recovery</t>
  </si>
  <si>
    <t>LABOUR RATES USED</t>
  </si>
  <si>
    <t>CREW RATES PER DAY</t>
  </si>
  <si>
    <t>INCLUSION</t>
  </si>
  <si>
    <t>QTY</t>
  </si>
  <si>
    <t>TOTAL RATE PER DAY</t>
  </si>
  <si>
    <t>LAB-CW2</t>
  </si>
  <si>
    <t>HR</t>
  </si>
  <si>
    <t>General Labour</t>
  </si>
  <si>
    <t>Electrical Works</t>
  </si>
  <si>
    <t>LAB-CW5</t>
  </si>
  <si>
    <t>hr</t>
  </si>
  <si>
    <t>2 man crew</t>
  </si>
  <si>
    <t>LAB-CW3</t>
  </si>
  <si>
    <t>Fitter</t>
  </si>
  <si>
    <t>Qualified Trade</t>
  </si>
  <si>
    <t>LAB-CW6</t>
  </si>
  <si>
    <t>Operator</t>
  </si>
  <si>
    <t xml:space="preserve">Excavator </t>
  </si>
  <si>
    <t>Excavator 30T</t>
  </si>
  <si>
    <t>Liquid Waste Specialist</t>
  </si>
  <si>
    <t>Concrete Breaker</t>
  </si>
  <si>
    <t>Hammer 30T</t>
  </si>
  <si>
    <t>Tipper</t>
  </si>
  <si>
    <t>Tipper 20T</t>
  </si>
  <si>
    <t>Taking the concrete to site stockpile</t>
  </si>
  <si>
    <t>Hours Per Day</t>
  </si>
  <si>
    <t>Labour</t>
  </si>
  <si>
    <t>2man  crew</t>
  </si>
  <si>
    <t>Tools</t>
  </si>
  <si>
    <t>Small Tools</t>
  </si>
  <si>
    <t>PLANT RATES USED</t>
  </si>
  <si>
    <t>Excavator</t>
  </si>
  <si>
    <t>Excavator 20T</t>
  </si>
  <si>
    <t>2man crew</t>
  </si>
  <si>
    <t>Bobcat</t>
  </si>
  <si>
    <t>Roller</t>
  </si>
  <si>
    <t>Roller 15-20T</t>
  </si>
  <si>
    <t>Attachment</t>
  </si>
  <si>
    <t>day</t>
  </si>
  <si>
    <t>Watercart</t>
  </si>
  <si>
    <t>Watercart 12-15KL</t>
  </si>
  <si>
    <t>Grader 140</t>
  </si>
  <si>
    <t>Franna 25T</t>
  </si>
  <si>
    <t>Grader</t>
  </si>
  <si>
    <t>Telehandler</t>
  </si>
  <si>
    <t>Mobile 200T</t>
  </si>
  <si>
    <t>Mobile 150T</t>
  </si>
  <si>
    <t>Hammer 20T</t>
  </si>
  <si>
    <t>Oxy Cutter</t>
  </si>
  <si>
    <t>Concrete Breaker/Grabs</t>
  </si>
  <si>
    <t>NO TRUCKS CONCRETE DISPOSAL</t>
  </si>
  <si>
    <t>4man crew</t>
  </si>
  <si>
    <t>Distance</t>
  </si>
  <si>
    <t>Speed</t>
  </si>
  <si>
    <t>km/hr</t>
  </si>
  <si>
    <t xml:space="preserve">T&amp;D Capacity </t>
  </si>
  <si>
    <t>Concrete Loading PR</t>
  </si>
  <si>
    <t>m3/hr</t>
  </si>
  <si>
    <t xml:space="preserve">Main Crane </t>
  </si>
  <si>
    <t>Rates to be confirmed</t>
  </si>
  <si>
    <t>Loading Time</t>
  </si>
  <si>
    <t>min</t>
  </si>
  <si>
    <t>Haulage Time</t>
  </si>
  <si>
    <t xml:space="preserve">Rigger </t>
  </si>
  <si>
    <t>6man crew</t>
  </si>
  <si>
    <t>Unloading</t>
  </si>
  <si>
    <t>Change Trucks</t>
  </si>
  <si>
    <t>Total Cycle Time</t>
  </si>
  <si>
    <t>Number of Trucks</t>
  </si>
  <si>
    <t>Truck</t>
  </si>
  <si>
    <t>Per day PR is 30x10=300m3. Hence one excavator can load up to 750tonne/30 = 25 trucks</t>
  </si>
  <si>
    <t>NO TRUCKS ROAD MATERIAL DISPOSAL</t>
  </si>
  <si>
    <t>Per day PR is 75m3/hr x 10hr =750m3 per day. Hence one excavator can load up to 1350tonne/30 = 45 T&amp;D</t>
  </si>
  <si>
    <t>Loading PR</t>
  </si>
  <si>
    <t>Watecart</t>
  </si>
  <si>
    <t>NO TRUCKS PILE DISPOSAL</t>
  </si>
  <si>
    <t>Pile Loading PR</t>
  </si>
  <si>
    <t>ton/hr</t>
  </si>
  <si>
    <t>Hammer</t>
  </si>
  <si>
    <t>Pit Crew Total</t>
  </si>
  <si>
    <t>Drive Steel Pile</t>
  </si>
  <si>
    <t>Crane</t>
  </si>
  <si>
    <t>TYPE OF FOUNDATION</t>
  </si>
  <si>
    <t>No</t>
  </si>
  <si>
    <t>It is assumed that 2m 100mm steel piles and the wieght of each pile is 125kg. Hence a truck and dog can carry up to 208 piles</t>
  </si>
  <si>
    <t>Franna</t>
  </si>
  <si>
    <t>removal @ 500m per day</t>
  </si>
  <si>
    <t>3 man crew</t>
  </si>
  <si>
    <t>Terms of use and disclaimer</t>
  </si>
  <si>
    <t>This calculator is provided for use by the public including persons engaging in commercial activities.</t>
  </si>
  <si>
    <t>No person or entity (including, without limitation, the State of New South Wales) associated with the development of the calculator makes any representation or warranty regarding its contents, or is liable for any loss or damage whatsoever that may result from the use of the template or any portion or variation thereof, or any other materials presented in conjunction with the calculator, or any errors or omissions in its contents.</t>
  </si>
  <si>
    <t>Users of the calculator must exercise their own skill and judgment and should seek advice from a suitably qualified experts, where appropriate.</t>
  </si>
  <si>
    <t xml:space="preserve">The outputs of the calculator are estimations only and subject to a range of variables that can and will change overtime. </t>
  </si>
  <si>
    <t xml:space="preserve">How to use </t>
  </si>
  <si>
    <t xml:space="preserve">This calculator contains a range of fields that can be modified to account for the individual aspects of a project.  Other fields and information are locked to provide consistent estimations. 
Enter information into the 'CALCULATOR TAB' to determine an estimate. </t>
  </si>
  <si>
    <t>Fields that can be modified are shown in blue</t>
  </si>
  <si>
    <t>Solar Energy Decomissioning Calculator</t>
  </si>
  <si>
    <t>SOLAR DECOMMISSION INPUTS</t>
  </si>
  <si>
    <t>SOLAR DECOMMISSION OUTPUTS</t>
  </si>
  <si>
    <t>SOLAR TRIGER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</si>
</sst>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quot;$&quot;#,##0.00"/>
    <numFmt numFmtId="166" formatCode="#,##0;[Red]\(#,##0\)"/>
    <numFmt numFmtId="167" formatCode="#,##0.00;[Red]\(#,##0.00\)"/>
    <numFmt numFmtId="168" formatCode="0.0%"/>
  </numFmts>
  <fonts count="16" x14ac:knownFonts="1">
    <font>
      <sz val="11"/>
      <color theme="1"/>
      <name val="Public Sans Light"/>
      <family val="2"/>
      <scheme val="minor"/>
    </font>
    <font>
      <sz val="11"/>
      <color theme="1"/>
      <name val="Public Sans Light"/>
      <family val="2"/>
      <scheme val="minor"/>
    </font>
    <font>
      <b/>
      <sz val="11"/>
      <color theme="1"/>
      <name val="Public Sans Light"/>
      <family val="2"/>
      <scheme val="minor"/>
    </font>
    <font>
      <b/>
      <u/>
      <sz val="11"/>
      <color theme="1"/>
      <name val="Public Sans Light"/>
      <family val="2"/>
      <scheme val="minor"/>
    </font>
    <font>
      <b/>
      <i/>
      <sz val="11"/>
      <color theme="1"/>
      <name val="Public Sans Light"/>
      <family val="2"/>
      <scheme val="minor"/>
    </font>
    <font>
      <b/>
      <u/>
      <sz val="12"/>
      <color theme="1"/>
      <name val="Public Sans Light"/>
      <family val="2"/>
      <scheme val="minor"/>
    </font>
    <font>
      <b/>
      <u/>
      <sz val="14"/>
      <color theme="1"/>
      <name val="Public Sans Light"/>
      <family val="2"/>
      <scheme val="minor"/>
    </font>
    <font>
      <b/>
      <sz val="11"/>
      <color rgb="FFFFFFFF"/>
      <name val="Calibri"/>
      <family val="2"/>
    </font>
    <font>
      <b/>
      <vertAlign val="superscript"/>
      <sz val="11"/>
      <color rgb="FFFFFFFF"/>
      <name val="Calibri"/>
      <family val="2"/>
    </font>
    <font>
      <sz val="11"/>
      <color rgb="FF000000"/>
      <name val="Calibri"/>
      <family val="2"/>
    </font>
    <font>
      <sz val="10"/>
      <color theme="1"/>
      <name val="Times New Roman"/>
      <family val="1"/>
    </font>
    <font>
      <b/>
      <sz val="11"/>
      <color rgb="FFFF0000"/>
      <name val="Public Sans Light"/>
      <family val="2"/>
      <scheme val="minor"/>
    </font>
    <font>
      <sz val="11"/>
      <color theme="0"/>
      <name val="Public Sans Light"/>
      <family val="2"/>
      <scheme val="minor"/>
    </font>
    <font>
      <b/>
      <sz val="20"/>
      <color theme="1"/>
      <name val="Public Sans Light"/>
      <scheme val="minor"/>
    </font>
    <font>
      <b/>
      <sz val="12"/>
      <color theme="1"/>
      <name val="Public Sans Light"/>
      <scheme val="minor"/>
    </font>
    <font>
      <sz val="11"/>
      <color theme="0"/>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004D71"/>
        <bgColor indexed="64"/>
      </patternFill>
    </fill>
    <fill>
      <patternFill patternType="solid">
        <fgColor rgb="FFCBD0D5"/>
        <bgColor indexed="64"/>
      </patternFill>
    </fill>
    <fill>
      <patternFill patternType="solid">
        <fgColor rgb="FFE7E9EB"/>
        <bgColor indexed="64"/>
      </patternFill>
    </fill>
    <fill>
      <patternFill patternType="solid">
        <fgColor theme="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7">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xf>
    <xf numFmtId="165" fontId="0" fillId="0" borderId="1" xfId="0" applyNumberFormat="1" applyBorder="1" applyAlignment="1">
      <alignment horizontal="center" vertical="center"/>
    </xf>
    <xf numFmtId="165" fontId="0" fillId="0" borderId="0" xfId="0" applyNumberFormat="1" applyAlignment="1">
      <alignment horizontal="center" vertical="center"/>
    </xf>
    <xf numFmtId="165" fontId="3" fillId="0" borderId="1" xfId="0" applyNumberFormat="1" applyFont="1" applyBorder="1" applyAlignment="1">
      <alignment horizontal="center" vertical="center"/>
    </xf>
    <xf numFmtId="0" fontId="4" fillId="0" borderId="1" xfId="0" applyFont="1" applyBorder="1" applyAlignment="1">
      <alignment horizontal="center" vertical="center"/>
    </xf>
    <xf numFmtId="165" fontId="4" fillId="0" borderId="1" xfId="0" applyNumberFormat="1" applyFont="1" applyBorder="1" applyAlignment="1">
      <alignment horizontal="center" vertical="center"/>
    </xf>
    <xf numFmtId="0" fontId="0" fillId="2" borderId="1" xfId="0" applyFill="1" applyBorder="1" applyAlignment="1">
      <alignment horizontal="center" vertical="center"/>
    </xf>
    <xf numFmtId="165" fontId="0" fillId="2" borderId="1" xfId="0" applyNumberFormat="1" applyFill="1" applyBorder="1" applyAlignment="1">
      <alignment horizontal="center" vertical="center"/>
    </xf>
    <xf numFmtId="164" fontId="0" fillId="0" borderId="0" xfId="0" applyNumberFormat="1" applyAlignment="1">
      <alignment horizontal="center" vertical="center"/>
    </xf>
    <xf numFmtId="0" fontId="2" fillId="0" borderId="1" xfId="0" applyFont="1" applyBorder="1" applyAlignment="1">
      <alignment horizontal="center" vertical="center"/>
    </xf>
    <xf numFmtId="165" fontId="2" fillId="0" borderId="1" xfId="0" applyNumberFormat="1" applyFont="1" applyBorder="1" applyAlignment="1">
      <alignment horizontal="center" vertical="center"/>
    </xf>
    <xf numFmtId="0" fontId="0" fillId="0" borderId="5" xfId="0" applyBorder="1" applyAlignment="1">
      <alignment horizontal="center" vertical="center"/>
    </xf>
    <xf numFmtId="0" fontId="2" fillId="0" borderId="1" xfId="0" applyFont="1" applyBorder="1" applyAlignment="1">
      <alignment horizontal="center" vertical="center" wrapText="1"/>
    </xf>
    <xf numFmtId="166" fontId="0" fillId="0" borderId="1" xfId="0" applyNumberFormat="1" applyBorder="1" applyAlignment="1">
      <alignment horizontal="center" vertical="center"/>
    </xf>
    <xf numFmtId="165" fontId="2" fillId="0" borderId="1" xfId="0" applyNumberFormat="1" applyFont="1" applyBorder="1" applyAlignment="1">
      <alignment horizontal="center" vertical="center" wrapText="1"/>
    </xf>
    <xf numFmtId="166" fontId="0" fillId="0" borderId="1" xfId="1" applyNumberFormat="1" applyFont="1" applyFill="1" applyBorder="1" applyAlignment="1">
      <alignment horizontal="center" vertical="center"/>
    </xf>
    <xf numFmtId="166" fontId="0" fillId="4" borderId="1" xfId="0" applyNumberFormat="1" applyFill="1" applyBorder="1" applyAlignment="1">
      <alignment horizontal="center" vertical="center"/>
    </xf>
    <xf numFmtId="166" fontId="0" fillId="0" borderId="0" xfId="0" applyNumberFormat="1" applyAlignment="1">
      <alignment horizontal="center" vertical="center"/>
    </xf>
    <xf numFmtId="168" fontId="0" fillId="0" borderId="1" xfId="2" applyNumberFormat="1" applyFont="1" applyBorder="1" applyAlignment="1">
      <alignment horizontal="center"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0" fillId="0" borderId="0" xfId="0" applyAlignment="1">
      <alignment horizontal="right" vertical="center"/>
    </xf>
    <xf numFmtId="166" fontId="3" fillId="2" borderId="1" xfId="0" applyNumberFormat="1" applyFont="1" applyFill="1" applyBorder="1" applyAlignment="1">
      <alignment horizontal="center" vertical="center"/>
    </xf>
    <xf numFmtId="166" fontId="2" fillId="0" borderId="0" xfId="0" applyNumberFormat="1" applyFont="1" applyAlignment="1">
      <alignment horizontal="center" vertical="center"/>
    </xf>
    <xf numFmtId="0" fontId="4" fillId="3" borderId="1" xfId="0" applyFont="1" applyFill="1" applyBorder="1" applyAlignment="1">
      <alignment horizontal="center" vertical="center"/>
    </xf>
    <xf numFmtId="167" fontId="0" fillId="0" borderId="1" xfId="0" applyNumberFormat="1" applyBorder="1" applyAlignment="1">
      <alignment horizontal="center" vertical="center"/>
    </xf>
    <xf numFmtId="0" fontId="0" fillId="3" borderId="1" xfId="0" applyFill="1" applyBorder="1" applyAlignment="1">
      <alignment horizontal="center" vertical="center"/>
    </xf>
    <xf numFmtId="165" fontId="4" fillId="0" borderId="0" xfId="0" applyNumberFormat="1" applyFont="1" applyAlignment="1">
      <alignment horizontal="center" vertical="center"/>
    </xf>
    <xf numFmtId="165" fontId="4" fillId="0" borderId="0" xfId="0" applyNumberFormat="1" applyFont="1" applyAlignment="1">
      <alignment horizontal="right" vertical="center"/>
    </xf>
    <xf numFmtId="166" fontId="4" fillId="0" borderId="0" xfId="0" applyNumberFormat="1" applyFont="1" applyAlignment="1">
      <alignment horizontal="center" vertical="center"/>
    </xf>
    <xf numFmtId="0" fontId="3" fillId="3" borderId="1" xfId="0" applyFont="1" applyFill="1" applyBorder="1" applyAlignment="1">
      <alignment horizontal="center" vertical="center"/>
    </xf>
    <xf numFmtId="164" fontId="4" fillId="3" borderId="1" xfId="1" applyFont="1" applyFill="1" applyBorder="1" applyAlignment="1">
      <alignment horizontal="center" vertical="center"/>
    </xf>
    <xf numFmtId="164" fontId="4" fillId="3" borderId="1" xfId="0" applyNumberFormat="1" applyFont="1" applyFill="1" applyBorder="1" applyAlignment="1">
      <alignment horizontal="center" vertical="center"/>
    </xf>
    <xf numFmtId="37" fontId="0" fillId="0" borderId="1" xfId="0" applyNumberFormat="1" applyBorder="1" applyAlignment="1">
      <alignment horizontal="center" vertical="center"/>
    </xf>
    <xf numFmtId="164" fontId="0" fillId="0" borderId="1" xfId="1" applyFont="1" applyFill="1"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vertical="center"/>
    </xf>
    <xf numFmtId="43" fontId="0" fillId="0" borderId="0" xfId="0" applyNumberFormat="1" applyAlignment="1">
      <alignment horizontal="center" vertical="center"/>
    </xf>
    <xf numFmtId="164" fontId="0" fillId="0" borderId="0" xfId="1" applyFont="1" applyAlignment="1">
      <alignment horizontal="center" vertical="center"/>
    </xf>
    <xf numFmtId="0" fontId="0" fillId="0" borderId="0" xfId="0" applyAlignment="1">
      <alignment horizontal="left" vertical="center"/>
    </xf>
    <xf numFmtId="165" fontId="4" fillId="0" borderId="0" xfId="0" applyNumberFormat="1" applyFont="1" applyAlignment="1">
      <alignment horizontal="left" vertical="center"/>
    </xf>
    <xf numFmtId="0" fontId="4" fillId="0" borderId="0" xfId="0" applyFont="1" applyAlignment="1">
      <alignment horizontal="left" vertical="center"/>
    </xf>
    <xf numFmtId="2" fontId="0" fillId="0" borderId="1" xfId="0" applyNumberFormat="1" applyBorder="1" applyAlignment="1">
      <alignment horizontal="center" vertical="center"/>
    </xf>
    <xf numFmtId="0" fontId="7" fillId="5" borderId="8" xfId="0" applyFont="1" applyFill="1" applyBorder="1" applyAlignment="1">
      <alignment horizontal="left" vertical="center" wrapText="1" indent="1"/>
    </xf>
    <xf numFmtId="0" fontId="7" fillId="5" borderId="9" xfId="0" applyFont="1" applyFill="1" applyBorder="1" applyAlignment="1">
      <alignment horizontal="left" vertical="center" wrapText="1" indent="1"/>
    </xf>
    <xf numFmtId="0" fontId="9" fillId="6" borderId="10" xfId="0" applyFont="1" applyFill="1" applyBorder="1" applyAlignment="1">
      <alignment vertical="center" wrapText="1"/>
    </xf>
    <xf numFmtId="0" fontId="9" fillId="6" borderId="11" xfId="0" applyFont="1" applyFill="1" applyBorder="1" applyAlignment="1">
      <alignment vertical="center" wrapText="1"/>
    </xf>
    <xf numFmtId="0" fontId="9" fillId="7" borderId="10" xfId="0" applyFont="1" applyFill="1" applyBorder="1" applyAlignment="1">
      <alignment vertical="center" wrapText="1"/>
    </xf>
    <xf numFmtId="0" fontId="10" fillId="6" borderId="11" xfId="0" applyFont="1" applyFill="1" applyBorder="1" applyAlignment="1">
      <alignment vertical="center" wrapText="1"/>
    </xf>
    <xf numFmtId="0" fontId="0" fillId="0" borderId="0" xfId="0" applyAlignment="1">
      <alignment vertical="center"/>
    </xf>
    <xf numFmtId="9" fontId="9" fillId="6" borderId="11" xfId="0" applyNumberFormat="1" applyFont="1" applyFill="1" applyBorder="1" applyAlignment="1">
      <alignment horizontal="center" vertical="center" wrapText="1"/>
    </xf>
    <xf numFmtId="166" fontId="3" fillId="0" borderId="1" xfId="0" applyNumberFormat="1" applyFont="1" applyBorder="1" applyAlignment="1">
      <alignment horizontal="center" vertical="center"/>
    </xf>
    <xf numFmtId="0" fontId="9" fillId="7" borderId="11" xfId="0" applyFont="1" applyFill="1" applyBorder="1" applyAlignment="1" applyProtection="1">
      <alignment vertical="center" wrapText="1"/>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0" fillId="0" borderId="6" xfId="0" applyBorder="1" applyAlignment="1" applyProtection="1">
      <alignment horizontal="center" vertical="center" wrapText="1"/>
      <protection locked="0"/>
    </xf>
    <xf numFmtId="43" fontId="0" fillId="0" borderId="1" xfId="0" applyNumberFormat="1" applyBorder="1" applyAlignment="1">
      <alignment horizontal="center" vertical="center"/>
    </xf>
    <xf numFmtId="0" fontId="2" fillId="3" borderId="1" xfId="0" applyFont="1" applyFill="1" applyBorder="1" applyAlignment="1">
      <alignment horizontal="center" vertical="center"/>
    </xf>
    <xf numFmtId="9" fontId="0" fillId="0" borderId="0" xfId="2" applyFont="1" applyFill="1" applyBorder="1" applyAlignment="1" applyProtection="1">
      <alignment horizontal="center" vertical="center"/>
      <protection locked="0"/>
    </xf>
    <xf numFmtId="9" fontId="0" fillId="0" borderId="0" xfId="0" applyNumberFormat="1" applyAlignment="1" applyProtection="1">
      <alignment horizontal="center" vertical="center"/>
      <protection locked="0"/>
    </xf>
    <xf numFmtId="0" fontId="0" fillId="9" borderId="1" xfId="0" applyFill="1" applyBorder="1" applyAlignment="1">
      <alignment horizontal="center" vertical="center"/>
    </xf>
    <xf numFmtId="0" fontId="12" fillId="8" borderId="0" xfId="0" applyFont="1" applyFill="1" applyAlignment="1" applyProtection="1">
      <alignment horizontal="center" vertical="center"/>
      <protection hidden="1"/>
    </xf>
    <xf numFmtId="0" fontId="0" fillId="0" borderId="1" xfId="0" applyBorder="1" applyAlignment="1" applyProtection="1">
      <alignment horizontal="center" vertical="center" wrapText="1"/>
      <protection locked="0"/>
    </xf>
    <xf numFmtId="0" fontId="0" fillId="0" borderId="2" xfId="0" applyBorder="1" applyAlignment="1" applyProtection="1">
      <alignment vertical="center" wrapText="1"/>
      <protection locked="0"/>
    </xf>
    <xf numFmtId="0" fontId="0" fillId="0" borderId="6" xfId="0" applyBorder="1" applyAlignment="1" applyProtection="1">
      <alignment vertical="center" wrapText="1"/>
      <protection locked="0"/>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6" fillId="2"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0" fillId="0" borderId="18" xfId="0" applyBorder="1"/>
    <xf numFmtId="0" fontId="13" fillId="0" borderId="18" xfId="0" applyFont="1" applyBorder="1"/>
    <xf numFmtId="0" fontId="14" fillId="0" borderId="18" xfId="0" applyFont="1" applyBorder="1" applyAlignment="1">
      <alignment horizontal="left" vertical="center"/>
    </xf>
    <xf numFmtId="0" fontId="0" fillId="0" borderId="19" xfId="0" applyBorder="1" applyAlignment="1">
      <alignment horizontal="left" wrapText="1"/>
    </xf>
    <xf numFmtId="0" fontId="0" fillId="0" borderId="20" xfId="0" applyBorder="1" applyAlignment="1">
      <alignment horizontal="left" wrapText="1"/>
    </xf>
    <xf numFmtId="0" fontId="14" fillId="0" borderId="18" xfId="0" applyFont="1" applyBorder="1"/>
    <xf numFmtId="0" fontId="0" fillId="0" borderId="21" xfId="0" applyBorder="1"/>
    <xf numFmtId="0" fontId="12" fillId="10" borderId="1" xfId="0" applyFont="1" applyFill="1" applyBorder="1" applyAlignment="1">
      <alignment wrapText="1"/>
    </xf>
    <xf numFmtId="0" fontId="0" fillId="0" borderId="20" xfId="0" applyBorder="1"/>
    <xf numFmtId="0" fontId="0" fillId="0" borderId="22" xfId="0" applyBorder="1"/>
    <xf numFmtId="0" fontId="3" fillId="11" borderId="1" xfId="0" applyFont="1" applyFill="1" applyBorder="1" applyAlignment="1">
      <alignment horizontal="center" vertical="center"/>
    </xf>
    <xf numFmtId="0" fontId="3" fillId="11" borderId="2" xfId="0" applyFont="1" applyFill="1" applyBorder="1" applyAlignment="1">
      <alignment horizontal="center" vertical="center"/>
    </xf>
    <xf numFmtId="0" fontId="3" fillId="11" borderId="7" xfId="0" applyFont="1" applyFill="1" applyBorder="1" applyAlignment="1">
      <alignment horizontal="center" vertical="center"/>
    </xf>
    <xf numFmtId="0" fontId="3" fillId="11" borderId="6" xfId="0" applyFont="1" applyFill="1" applyBorder="1" applyAlignment="1">
      <alignment horizontal="center" vertical="center"/>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3" fillId="11" borderId="1" xfId="0" applyFont="1" applyFill="1" applyBorder="1" applyAlignment="1" applyProtection="1">
      <alignment horizontal="center" vertical="center" wrapText="1"/>
      <protection locked="0"/>
    </xf>
    <xf numFmtId="0" fontId="5" fillId="11" borderId="1" xfId="0" applyFont="1" applyFill="1" applyBorder="1" applyAlignment="1">
      <alignment horizontal="center" vertical="center"/>
    </xf>
    <xf numFmtId="0" fontId="12" fillId="10" borderId="0" xfId="0" applyFont="1" applyFill="1" applyAlignment="1" applyProtection="1">
      <alignment horizontal="center" vertical="center"/>
      <protection locked="0"/>
    </xf>
    <xf numFmtId="0" fontId="12" fillId="10" borderId="1" xfId="0" applyFont="1" applyFill="1" applyBorder="1" applyAlignment="1" applyProtection="1">
      <alignment horizontal="center" vertical="center"/>
      <protection locked="0"/>
    </xf>
    <xf numFmtId="9" fontId="12" fillId="10" borderId="16" xfId="2" applyFont="1" applyFill="1" applyBorder="1" applyAlignment="1" applyProtection="1">
      <alignment horizontal="center" vertical="center"/>
      <protection locked="0"/>
    </xf>
    <xf numFmtId="9" fontId="12" fillId="10" borderId="17" xfId="2"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protection locked="0"/>
    </xf>
    <xf numFmtId="168" fontId="15" fillId="10" borderId="11" xfId="0" applyNumberFormat="1" applyFont="1" applyFill="1" applyBorder="1" applyAlignment="1" applyProtection="1">
      <alignment horizontal="center" vertical="center" wrapText="1"/>
      <protection locked="0"/>
    </xf>
    <xf numFmtId="37" fontId="15" fillId="10" borderId="11" xfId="0" applyNumberFormat="1" applyFont="1" applyFill="1" applyBorder="1" applyAlignment="1" applyProtection="1">
      <alignment horizontal="center" vertical="center" wrapText="1"/>
      <protection locked="0"/>
    </xf>
    <xf numFmtId="0" fontId="0" fillId="0" borderId="0" xfId="0" applyFill="1" applyAlignment="1">
      <alignment horizontal="center" vertical="center"/>
    </xf>
    <xf numFmtId="165" fontId="12" fillId="10" borderId="1" xfId="0" applyNumberFormat="1"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542925</xdr:colOff>
      <xdr:row>1</xdr:row>
      <xdr:rowOff>28575</xdr:rowOff>
    </xdr:from>
    <xdr:to>
      <xdr:col>3</xdr:col>
      <xdr:colOff>333375</xdr:colOff>
      <xdr:row>15</xdr:row>
      <xdr:rowOff>152400</xdr:rowOff>
    </xdr:to>
    <xdr:sp macro="" textlink="">
      <xdr:nvSpPr>
        <xdr:cNvPr id="2" name="Rectangle 1">
          <a:extLst>
            <a:ext uri="{FF2B5EF4-FFF2-40B4-BE49-F238E27FC236}">
              <a16:creationId xmlns:a16="http://schemas.microsoft.com/office/drawing/2014/main" id="{49A04502-525A-4316-9257-E6D1BD3C245A}"/>
            </a:ext>
          </a:extLst>
        </xdr:cNvPr>
        <xdr:cNvSpPr/>
      </xdr:nvSpPr>
      <xdr:spPr>
        <a:xfrm>
          <a:off x="542925" y="257175"/>
          <a:ext cx="6772275" cy="7019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DPE">
  <a:themeElements>
    <a:clrScheme name="NSWG Corporate">
      <a:dk1>
        <a:srgbClr val="22272B"/>
      </a:dk1>
      <a:lt1>
        <a:srgbClr val="FFFFFF"/>
      </a:lt1>
      <a:dk2>
        <a:srgbClr val="D7153A"/>
      </a:dk2>
      <a:lt2>
        <a:srgbClr val="002664"/>
      </a:lt2>
      <a:accent1>
        <a:srgbClr val="002664"/>
      </a:accent1>
      <a:accent2>
        <a:srgbClr val="CBEDFD"/>
      </a:accent2>
      <a:accent3>
        <a:srgbClr val="146CFD"/>
      </a:accent3>
      <a:accent4>
        <a:srgbClr val="8CE0FF"/>
      </a:accent4>
      <a:accent5>
        <a:srgbClr val="495054"/>
      </a:accent5>
      <a:accent6>
        <a:srgbClr val="FFB8C1"/>
      </a:accent6>
      <a:hlink>
        <a:srgbClr val="22272B"/>
      </a:hlink>
      <a:folHlink>
        <a:srgbClr val="22272B"/>
      </a:folHlink>
    </a:clrScheme>
    <a:fontScheme name="NSW Government">
      <a:majorFont>
        <a:latin typeface="Public Sans"/>
        <a:ea typeface=""/>
        <a:cs typeface=""/>
      </a:majorFont>
      <a:minorFont>
        <a:latin typeface="Public Sans Light"/>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PE" id="{2259EEF2-EC6B-40B6-B9EA-DAC41C4CB06C}" vid="{14CE330B-546A-4DEA-94FF-E79B4A3AA96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9DA04-9CDE-4AC9-A51F-551F06F099A3}">
  <dimension ref="B3:C14"/>
  <sheetViews>
    <sheetView tabSelected="1" workbookViewId="0">
      <selection activeCell="B8" sqref="B8:C8"/>
    </sheetView>
  </sheetViews>
  <sheetFormatPr defaultRowHeight="18" x14ac:dyDescent="0.35"/>
  <cols>
    <col min="1" max="1" width="8.796875" style="89"/>
    <col min="2" max="2" width="21.59765625" style="89" customWidth="1"/>
    <col min="3" max="3" width="39.3984375" style="89" customWidth="1"/>
    <col min="4" max="16384" width="8.796875" style="89"/>
  </cols>
  <sheetData>
    <row r="3" spans="2:3" ht="32.25" x14ac:dyDescent="0.6">
      <c r="B3" s="90" t="s">
        <v>289</v>
      </c>
    </row>
    <row r="5" spans="2:3" ht="20.25" x14ac:dyDescent="0.35">
      <c r="B5" s="91" t="s">
        <v>281</v>
      </c>
    </row>
    <row r="6" spans="2:3" ht="39.75" customHeight="1" x14ac:dyDescent="0.35">
      <c r="B6" s="92" t="s">
        <v>282</v>
      </c>
      <c r="C6" s="93"/>
    </row>
    <row r="7" spans="2:3" ht="116.25" customHeight="1" x14ac:dyDescent="0.35">
      <c r="B7" s="92" t="s">
        <v>283</v>
      </c>
      <c r="C7" s="93"/>
    </row>
    <row r="8" spans="2:3" ht="47.25" customHeight="1" x14ac:dyDescent="0.35">
      <c r="B8" s="92" t="s">
        <v>284</v>
      </c>
      <c r="C8" s="93"/>
    </row>
    <row r="9" spans="2:3" ht="46.5" customHeight="1" x14ac:dyDescent="0.35">
      <c r="B9" s="92" t="s">
        <v>285</v>
      </c>
      <c r="C9" s="93"/>
    </row>
    <row r="10" spans="2:3" ht="37.5" customHeight="1" x14ac:dyDescent="0.4">
      <c r="B10" s="94" t="s">
        <v>286</v>
      </c>
    </row>
    <row r="11" spans="2:3" ht="96.75" customHeight="1" x14ac:dyDescent="0.35">
      <c r="B11" s="92" t="s">
        <v>287</v>
      </c>
      <c r="C11" s="93"/>
    </row>
    <row r="12" spans="2:3" x14ac:dyDescent="0.35">
      <c r="B12" s="95"/>
    </row>
    <row r="13" spans="2:3" ht="36" customHeight="1" x14ac:dyDescent="0.35">
      <c r="B13" s="96" t="s">
        <v>288</v>
      </c>
      <c r="C13" s="97"/>
    </row>
    <row r="14" spans="2:3" x14ac:dyDescent="0.35">
      <c r="B14" s="98"/>
    </row>
  </sheetData>
  <sheetProtection algorithmName="SHA-512" hashValue="smd5MCfjv8gyI1oQi6F1VscjNNgHsWTs7BXdmMyanz6j4yHh/eUmDK0VZULmctvAlHMqGZK2PBC+svsgtRw46g==" saltValue="84hhn5bFmMfF9ZvWP6n36w==" spinCount="100000" sheet="1" objects="1" scenarios="1"/>
  <mergeCells count="5">
    <mergeCell ref="B6:C6"/>
    <mergeCell ref="B7:C7"/>
    <mergeCell ref="B8:C8"/>
    <mergeCell ref="B9:C9"/>
    <mergeCell ref="B11:C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D5A0B-3E06-4021-B6AA-DC92AA362084}">
  <dimension ref="A2:K48"/>
  <sheetViews>
    <sheetView showGridLines="0" zoomScale="85" zoomScaleNormal="85" workbookViewId="0">
      <selection activeCell="G17" sqref="G17"/>
    </sheetView>
  </sheetViews>
  <sheetFormatPr defaultColWidth="8.796875" defaultRowHeight="15" x14ac:dyDescent="0.35"/>
  <cols>
    <col min="1" max="1" width="8.796875" style="1"/>
    <col min="2" max="2" width="11.59765625" style="1" customWidth="1"/>
    <col min="3" max="3" width="35.796875" style="1" customWidth="1"/>
    <col min="4" max="4" width="18.3984375" style="1" customWidth="1"/>
    <col min="5" max="5" width="25.3984375" style="1" customWidth="1"/>
    <col min="6" max="6" width="53.296875" style="1" customWidth="1"/>
    <col min="7" max="8" width="8.796875" style="1"/>
    <col min="9" max="9" width="37.69921875" style="1" customWidth="1"/>
    <col min="10" max="10" width="8.69921875" style="1" customWidth="1"/>
    <col min="11" max="11" width="13.296875" style="1" customWidth="1"/>
    <col min="12" max="16384" width="8.796875" style="1"/>
  </cols>
  <sheetData>
    <row r="2" spans="2:11" ht="31.15" customHeight="1" x14ac:dyDescent="0.35">
      <c r="B2" s="106" t="s">
        <v>290</v>
      </c>
      <c r="C2" s="106"/>
      <c r="D2" s="106"/>
      <c r="E2" s="106"/>
      <c r="F2" s="106"/>
      <c r="I2" s="106" t="s">
        <v>292</v>
      </c>
      <c r="J2" s="106"/>
    </row>
    <row r="3" spans="2:11" ht="28.9" customHeight="1" x14ac:dyDescent="0.35">
      <c r="B3" s="35" t="s">
        <v>0</v>
      </c>
      <c r="C3" s="35" t="s">
        <v>1</v>
      </c>
      <c r="D3" s="35" t="s">
        <v>2</v>
      </c>
      <c r="E3" s="35" t="s">
        <v>3</v>
      </c>
      <c r="F3" s="35" t="s">
        <v>4</v>
      </c>
      <c r="I3" s="35" t="s">
        <v>1</v>
      </c>
      <c r="J3" s="35" t="s">
        <v>5</v>
      </c>
    </row>
    <row r="4" spans="2:11" ht="30" customHeight="1" x14ac:dyDescent="0.35">
      <c r="B4" s="99"/>
      <c r="C4" s="62" t="s">
        <v>6</v>
      </c>
      <c r="D4" s="31" t="s">
        <v>7</v>
      </c>
      <c r="E4" s="108">
        <v>250</v>
      </c>
      <c r="F4" s="62" t="s">
        <v>8</v>
      </c>
      <c r="I4" s="2" t="s">
        <v>9</v>
      </c>
      <c r="J4" s="108" t="s">
        <v>10</v>
      </c>
      <c r="K4" s="66">
        <f>IF(J4="yes",1,0)</f>
        <v>1</v>
      </c>
    </row>
    <row r="5" spans="2:11" ht="30" customHeight="1" x14ac:dyDescent="0.35">
      <c r="B5" s="100" t="s">
        <v>11</v>
      </c>
      <c r="C5" s="62" t="s">
        <v>12</v>
      </c>
      <c r="D5" s="31" t="s">
        <v>13</v>
      </c>
      <c r="E5" s="108">
        <v>895</v>
      </c>
      <c r="F5" s="59"/>
      <c r="I5" s="2" t="s">
        <v>14</v>
      </c>
      <c r="J5" s="108" t="s">
        <v>10</v>
      </c>
      <c r="K5" s="66">
        <f t="shared" ref="K5:K13" si="0">IF(J5="yes",1,0)</f>
        <v>1</v>
      </c>
    </row>
    <row r="6" spans="2:11" ht="30" customHeight="1" x14ac:dyDescent="0.35">
      <c r="B6" s="101"/>
      <c r="C6" s="62" t="s">
        <v>15</v>
      </c>
      <c r="D6" s="31" t="s">
        <v>16</v>
      </c>
      <c r="E6" s="108">
        <v>715000</v>
      </c>
      <c r="F6" s="58"/>
      <c r="I6" s="2" t="s">
        <v>17</v>
      </c>
      <c r="J6" s="108" t="s">
        <v>10</v>
      </c>
      <c r="K6" s="66">
        <f t="shared" si="0"/>
        <v>1</v>
      </c>
    </row>
    <row r="7" spans="2:11" ht="30" customHeight="1" x14ac:dyDescent="0.35">
      <c r="B7" s="101"/>
      <c r="C7" s="62" t="s">
        <v>18</v>
      </c>
      <c r="D7" s="31" t="s">
        <v>19</v>
      </c>
      <c r="E7" s="108">
        <v>27</v>
      </c>
      <c r="F7" s="58"/>
      <c r="I7" s="2" t="s">
        <v>20</v>
      </c>
      <c r="J7" s="108" t="s">
        <v>10</v>
      </c>
      <c r="K7" s="66">
        <f t="shared" si="0"/>
        <v>1</v>
      </c>
    </row>
    <row r="8" spans="2:11" ht="30" customHeight="1" x14ac:dyDescent="0.35">
      <c r="B8" s="102"/>
      <c r="C8" s="62" t="s">
        <v>21</v>
      </c>
      <c r="D8" s="31" t="s">
        <v>13</v>
      </c>
      <c r="E8" s="108">
        <v>269.8</v>
      </c>
      <c r="F8" s="58"/>
      <c r="I8" s="2" t="s">
        <v>22</v>
      </c>
      <c r="J8" s="108" t="s">
        <v>10</v>
      </c>
      <c r="K8" s="66">
        <f t="shared" si="0"/>
        <v>1</v>
      </c>
    </row>
    <row r="9" spans="2:11" ht="30" customHeight="1" x14ac:dyDescent="0.35">
      <c r="B9" s="103" t="s">
        <v>23</v>
      </c>
      <c r="C9" s="62" t="s">
        <v>24</v>
      </c>
      <c r="D9" s="108" t="s">
        <v>25</v>
      </c>
      <c r="E9" s="65"/>
      <c r="F9" s="2" t="s">
        <v>26</v>
      </c>
      <c r="I9" s="2" t="s">
        <v>27</v>
      </c>
      <c r="J9" s="108" t="s">
        <v>10</v>
      </c>
      <c r="K9" s="66">
        <f t="shared" si="0"/>
        <v>1</v>
      </c>
    </row>
    <row r="10" spans="2:11" ht="30" customHeight="1" x14ac:dyDescent="0.35">
      <c r="B10" s="103"/>
      <c r="C10" s="62" t="s">
        <v>28</v>
      </c>
      <c r="D10" s="31" t="s">
        <v>29</v>
      </c>
      <c r="E10" s="108">
        <f>(1500/5*E25)*2*0.5*0.5*1*IF('ASSUMPTIONS 2'!$C$77=0,1,0)</f>
        <v>45000</v>
      </c>
      <c r="F10" s="67" t="s">
        <v>30</v>
      </c>
      <c r="I10" s="2" t="s">
        <v>31</v>
      </c>
      <c r="J10" s="108" t="s">
        <v>10</v>
      </c>
      <c r="K10" s="66">
        <f t="shared" si="0"/>
        <v>1</v>
      </c>
    </row>
    <row r="11" spans="2:11" ht="30" customHeight="1" x14ac:dyDescent="0.35">
      <c r="B11" s="103"/>
      <c r="C11" s="62" t="s">
        <v>32</v>
      </c>
      <c r="D11" s="31" t="s">
        <v>16</v>
      </c>
      <c r="E11" s="108">
        <v>180000</v>
      </c>
      <c r="F11" s="67"/>
      <c r="I11" s="2" t="s">
        <v>33</v>
      </c>
      <c r="J11" s="108" t="s">
        <v>10</v>
      </c>
      <c r="K11" s="66">
        <f t="shared" si="0"/>
        <v>1</v>
      </c>
    </row>
    <row r="12" spans="2:11" ht="30" customHeight="1" x14ac:dyDescent="0.35">
      <c r="B12" s="103" t="s">
        <v>34</v>
      </c>
      <c r="C12" s="62" t="s">
        <v>35</v>
      </c>
      <c r="D12" s="31" t="s">
        <v>36</v>
      </c>
      <c r="E12" s="108">
        <v>2.2000000000000002</v>
      </c>
      <c r="F12" s="58"/>
      <c r="I12" s="2" t="s">
        <v>37</v>
      </c>
      <c r="J12" s="108" t="s">
        <v>10</v>
      </c>
      <c r="K12" s="66">
        <f t="shared" si="0"/>
        <v>1</v>
      </c>
    </row>
    <row r="13" spans="2:11" ht="30" customHeight="1" x14ac:dyDescent="0.35">
      <c r="B13" s="103"/>
      <c r="C13" s="62" t="s">
        <v>38</v>
      </c>
      <c r="D13" s="31" t="s">
        <v>16</v>
      </c>
      <c r="E13" s="108">
        <v>4</v>
      </c>
      <c r="F13" s="68" t="s">
        <v>39</v>
      </c>
      <c r="I13" s="2" t="s">
        <v>40</v>
      </c>
      <c r="J13" s="108" t="s">
        <v>10</v>
      </c>
      <c r="K13" s="66">
        <f t="shared" si="0"/>
        <v>1</v>
      </c>
    </row>
    <row r="14" spans="2:11" ht="30" customHeight="1" x14ac:dyDescent="0.35">
      <c r="B14" s="103"/>
      <c r="C14" s="62" t="s">
        <v>41</v>
      </c>
      <c r="D14" s="31" t="s">
        <v>42</v>
      </c>
      <c r="E14" s="108">
        <v>150</v>
      </c>
      <c r="F14" s="69"/>
    </row>
    <row r="15" spans="2:11" ht="30" customHeight="1" x14ac:dyDescent="0.35">
      <c r="B15" s="103"/>
      <c r="C15" s="62" t="s">
        <v>43</v>
      </c>
      <c r="D15" s="31" t="s">
        <v>36</v>
      </c>
      <c r="E15" s="108">
        <v>250</v>
      </c>
      <c r="F15" s="60"/>
    </row>
    <row r="16" spans="2:11" ht="30" customHeight="1" x14ac:dyDescent="0.35">
      <c r="B16" s="104" t="s">
        <v>44</v>
      </c>
      <c r="C16" s="62" t="s">
        <v>45</v>
      </c>
      <c r="D16" s="31" t="s">
        <v>36</v>
      </c>
      <c r="E16" s="108">
        <v>50000</v>
      </c>
      <c r="F16" s="58"/>
    </row>
    <row r="17" spans="1:6" ht="30" customHeight="1" x14ac:dyDescent="0.35">
      <c r="B17" s="104"/>
      <c r="C17" s="62" t="s">
        <v>45</v>
      </c>
      <c r="D17" s="31" t="s">
        <v>46</v>
      </c>
      <c r="E17" s="108">
        <v>346500</v>
      </c>
      <c r="F17" s="67" t="s">
        <v>47</v>
      </c>
    </row>
    <row r="18" spans="1:6" ht="30" customHeight="1" x14ac:dyDescent="0.35">
      <c r="B18" s="104"/>
      <c r="C18" s="62" t="s">
        <v>48</v>
      </c>
      <c r="D18" s="31" t="s">
        <v>36</v>
      </c>
      <c r="E18" s="108">
        <v>0.15</v>
      </c>
      <c r="F18" s="67"/>
    </row>
    <row r="19" spans="1:6" ht="30" customHeight="1" x14ac:dyDescent="0.35">
      <c r="B19" s="104"/>
      <c r="C19" s="62" t="s">
        <v>49</v>
      </c>
      <c r="D19" s="31" t="s">
        <v>46</v>
      </c>
      <c r="E19" s="108">
        <v>349155</v>
      </c>
      <c r="F19" s="67"/>
    </row>
    <row r="20" spans="1:6" ht="30" customHeight="1" x14ac:dyDescent="0.35">
      <c r="A20" s="107" t="s">
        <v>10</v>
      </c>
      <c r="B20" s="99" t="s">
        <v>50</v>
      </c>
      <c r="C20" s="62" t="s">
        <v>51</v>
      </c>
      <c r="D20" s="31" t="s">
        <v>16</v>
      </c>
      <c r="E20" s="108">
        <v>3</v>
      </c>
      <c r="F20" s="67"/>
    </row>
    <row r="21" spans="1:6" ht="30" customHeight="1" x14ac:dyDescent="0.35">
      <c r="B21" s="105" t="s">
        <v>52</v>
      </c>
      <c r="C21" s="62" t="s">
        <v>53</v>
      </c>
      <c r="D21" s="31" t="s">
        <v>54</v>
      </c>
      <c r="E21" s="108">
        <v>16000</v>
      </c>
      <c r="F21" s="58" t="s">
        <v>55</v>
      </c>
    </row>
    <row r="22" spans="1:6" ht="30" customHeight="1" x14ac:dyDescent="0.35">
      <c r="B22" s="105"/>
      <c r="C22" s="62" t="s">
        <v>56</v>
      </c>
      <c r="D22" s="31" t="s">
        <v>46</v>
      </c>
      <c r="E22" s="108">
        <v>2655</v>
      </c>
      <c r="F22" s="67" t="s">
        <v>57</v>
      </c>
    </row>
    <row r="23" spans="1:6" ht="30" customHeight="1" x14ac:dyDescent="0.35">
      <c r="B23" s="105"/>
      <c r="C23" s="62" t="s">
        <v>58</v>
      </c>
      <c r="D23" s="31" t="s">
        <v>36</v>
      </c>
      <c r="E23" s="108">
        <v>0.25</v>
      </c>
      <c r="F23" s="58" t="s">
        <v>59</v>
      </c>
    </row>
    <row r="24" spans="1:6" ht="28.15" customHeight="1" x14ac:dyDescent="0.35">
      <c r="B24" s="105"/>
      <c r="C24" s="62" t="s">
        <v>60</v>
      </c>
      <c r="D24" s="31" t="s">
        <v>61</v>
      </c>
      <c r="E24" s="108">
        <f>(2*300*1500/5*2+1500*300)*3/1000</f>
        <v>2430</v>
      </c>
      <c r="F24" s="67" t="s">
        <v>62</v>
      </c>
    </row>
    <row r="25" spans="1:6" ht="28.15" customHeight="1" x14ac:dyDescent="0.35">
      <c r="B25" s="105"/>
      <c r="C25" s="62" t="s">
        <v>63</v>
      </c>
      <c r="D25" s="31" t="s">
        <v>16</v>
      </c>
      <c r="E25" s="108">
        <v>300</v>
      </c>
      <c r="F25" s="58"/>
    </row>
    <row r="26" spans="1:6" ht="28.15" customHeight="1" x14ac:dyDescent="0.35">
      <c r="B26" s="103" t="s">
        <v>64</v>
      </c>
      <c r="C26" s="62" t="s">
        <v>17</v>
      </c>
      <c r="D26" s="31" t="s">
        <v>65</v>
      </c>
      <c r="E26" s="108">
        <v>8.5</v>
      </c>
      <c r="F26" s="58"/>
    </row>
    <row r="27" spans="1:6" ht="28.15" customHeight="1" x14ac:dyDescent="0.35">
      <c r="B27" s="103"/>
      <c r="C27" s="62" t="s">
        <v>20</v>
      </c>
      <c r="D27" s="31" t="s">
        <v>65</v>
      </c>
      <c r="E27" s="108">
        <v>16</v>
      </c>
      <c r="F27" s="58"/>
    </row>
    <row r="28" spans="1:6" ht="28.15" customHeight="1" x14ac:dyDescent="0.35">
      <c r="B28" s="103"/>
      <c r="C28" s="62" t="s">
        <v>22</v>
      </c>
      <c r="D28" s="31" t="s">
        <v>65</v>
      </c>
      <c r="E28" s="108">
        <v>2.4</v>
      </c>
      <c r="F28" s="58"/>
    </row>
    <row r="29" spans="1:6" ht="28.15" customHeight="1" x14ac:dyDescent="0.35">
      <c r="B29" s="103"/>
      <c r="C29" s="62" t="s">
        <v>27</v>
      </c>
      <c r="D29" s="31" t="s">
        <v>65</v>
      </c>
      <c r="E29" s="108">
        <v>4.5</v>
      </c>
      <c r="F29" s="58"/>
    </row>
    <row r="30" spans="1:6" ht="28.15" customHeight="1" x14ac:dyDescent="0.35">
      <c r="B30" s="103"/>
      <c r="C30" s="62" t="s">
        <v>31</v>
      </c>
      <c r="D30" s="31" t="s">
        <v>65</v>
      </c>
      <c r="E30" s="108">
        <v>60</v>
      </c>
      <c r="F30" s="58"/>
    </row>
    <row r="31" spans="1:6" ht="31.9" customHeight="1" x14ac:dyDescent="0.35">
      <c r="B31" s="103"/>
      <c r="C31" s="62" t="s">
        <v>33</v>
      </c>
      <c r="D31" s="31" t="s">
        <v>65</v>
      </c>
      <c r="E31" s="108">
        <v>0.1</v>
      </c>
      <c r="F31" s="58"/>
    </row>
    <row r="32" spans="1:6" ht="31.9" customHeight="1" x14ac:dyDescent="0.35">
      <c r="B32" s="103"/>
      <c r="C32" s="62" t="s">
        <v>37</v>
      </c>
      <c r="D32" s="31" t="s">
        <v>65</v>
      </c>
      <c r="E32" s="108">
        <v>8.5</v>
      </c>
      <c r="F32" s="58"/>
    </row>
    <row r="33" spans="2:6" ht="31.9" customHeight="1" x14ac:dyDescent="0.35">
      <c r="B33" s="103" t="s">
        <v>66</v>
      </c>
      <c r="C33" s="62" t="s">
        <v>67</v>
      </c>
      <c r="D33" s="31" t="s">
        <v>68</v>
      </c>
      <c r="E33" s="108">
        <v>450</v>
      </c>
      <c r="F33" s="58"/>
    </row>
    <row r="34" spans="2:6" ht="18" x14ac:dyDescent="0.35">
      <c r="B34" s="103"/>
      <c r="C34" s="62" t="s">
        <v>69</v>
      </c>
      <c r="D34" s="31" t="s">
        <v>68</v>
      </c>
      <c r="E34" s="108">
        <v>500</v>
      </c>
      <c r="F34" s="58"/>
    </row>
    <row r="36" spans="2:6" ht="18.75" thickBot="1" x14ac:dyDescent="0.4"/>
    <row r="37" spans="2:6" ht="18" x14ac:dyDescent="0.35">
      <c r="C37" s="72" t="s">
        <v>70</v>
      </c>
      <c r="D37" s="73"/>
      <c r="E37" s="109">
        <v>0.35</v>
      </c>
    </row>
    <row r="38" spans="2:6" ht="18.75" thickBot="1" x14ac:dyDescent="0.4">
      <c r="C38" s="74" t="s">
        <v>71</v>
      </c>
      <c r="D38" s="75"/>
      <c r="E38" s="110">
        <v>0.25</v>
      </c>
    </row>
    <row r="40" spans="2:6" ht="20.25" x14ac:dyDescent="0.35">
      <c r="C40" s="106" t="s">
        <v>291</v>
      </c>
      <c r="D40" s="106"/>
      <c r="E40" s="106"/>
      <c r="F40" s="106"/>
    </row>
    <row r="41" spans="2:6" ht="18" x14ac:dyDescent="0.35">
      <c r="C41" s="35" t="s">
        <v>1</v>
      </c>
      <c r="D41" s="35" t="s">
        <v>2</v>
      </c>
      <c r="E41" s="35" t="s">
        <v>72</v>
      </c>
      <c r="F41" s="35" t="s">
        <v>4</v>
      </c>
    </row>
    <row r="42" spans="2:6" ht="18" x14ac:dyDescent="0.35">
      <c r="C42" s="29" t="s">
        <v>73</v>
      </c>
      <c r="D42" s="29" t="s">
        <v>74</v>
      </c>
      <c r="E42" s="36">
        <f>'ASSUMPTIONS 1'!J59</f>
        <v>58518272.032964677</v>
      </c>
      <c r="F42" s="111"/>
    </row>
    <row r="43" spans="2:6" ht="18" x14ac:dyDescent="0.35">
      <c r="C43" s="29" t="s">
        <v>75</v>
      </c>
      <c r="D43" s="29" t="s">
        <v>74</v>
      </c>
      <c r="E43" s="36">
        <f>'ASSUMPTIONS 1'!J73</f>
        <v>18353375.25</v>
      </c>
      <c r="F43" s="111"/>
    </row>
    <row r="44" spans="2:6" ht="18" x14ac:dyDescent="0.35">
      <c r="C44" s="29" t="s">
        <v>76</v>
      </c>
      <c r="D44" s="29" t="s">
        <v>74</v>
      </c>
      <c r="E44" s="36">
        <f>+E42-E43</f>
        <v>40164896.782964677</v>
      </c>
      <c r="F44" s="111"/>
    </row>
    <row r="45" spans="2:6" ht="18" x14ac:dyDescent="0.35">
      <c r="C45" s="29" t="s">
        <v>77</v>
      </c>
      <c r="D45" s="29" t="s">
        <v>78</v>
      </c>
      <c r="E45" s="36">
        <f>E42/E4</f>
        <v>234073.08813185871</v>
      </c>
      <c r="F45" s="111"/>
    </row>
    <row r="46" spans="2:6" ht="18" x14ac:dyDescent="0.35">
      <c r="C46" s="29" t="s">
        <v>79</v>
      </c>
      <c r="D46" s="29" t="s">
        <v>78</v>
      </c>
      <c r="E46" s="37">
        <f>'ASSUMPTIONS 1'!J76/CALCULATOR!E4</f>
        <v>160659.58713185872</v>
      </c>
      <c r="F46" s="111"/>
    </row>
    <row r="47" spans="2:6" ht="18" x14ac:dyDescent="0.35">
      <c r="C47" s="29" t="s">
        <v>80</v>
      </c>
      <c r="D47" s="29" t="s">
        <v>81</v>
      </c>
      <c r="E47" s="37">
        <f>E42/$E$6</f>
        <v>81.843737109041513</v>
      </c>
      <c r="F47" s="111"/>
    </row>
    <row r="48" spans="2:6" ht="18" x14ac:dyDescent="0.35">
      <c r="C48" s="29" t="s">
        <v>82</v>
      </c>
      <c r="D48" s="29" t="s">
        <v>81</v>
      </c>
      <c r="E48" s="37">
        <f>E44/$E$6</f>
        <v>56.174680815335215</v>
      </c>
      <c r="F48" s="111"/>
    </row>
  </sheetData>
  <sheetProtection algorithmName="SHA-512" hashValue="sainDdJ4LU7R4e+lx4pKu3sdSDJ+TyRBcL9gwGrT6Z4CA5kIq2xW4VcKpiaWslaC0FTF1suPI+fX5OkQfl/3Hg==" saltValue="PyZ+bG+cwdNkraU5DZiTcA==" spinCount="100000" sheet="1" objects="1" scenarios="1"/>
  <mergeCells count="12">
    <mergeCell ref="C40:F40"/>
    <mergeCell ref="I2:J2"/>
    <mergeCell ref="B2:F2"/>
    <mergeCell ref="B9:B11"/>
    <mergeCell ref="B12:B15"/>
    <mergeCell ref="B16:B19"/>
    <mergeCell ref="B21:B25"/>
    <mergeCell ref="B26:B32"/>
    <mergeCell ref="B33:B34"/>
    <mergeCell ref="C37:D37"/>
    <mergeCell ref="C38:D38"/>
    <mergeCell ref="B5:B8"/>
  </mergeCells>
  <dataValidations count="1">
    <dataValidation type="list" allowBlank="1" showInputMessage="1" showErrorMessage="1" sqref="J4:J13" xr:uid="{43D553C9-8CD9-4E73-8D54-D530F542A252}">
      <formula1>"Yes,No"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27DDD8FD-3133-4A3B-961D-7B14C8C9A839}">
          <x14:formula1>
            <xm:f>'ASSUMPTIONS 2'!$B$72:$B$73</xm:f>
          </x14:formula1>
          <xm:sqref>D9</xm:sqref>
        </x14:dataValidation>
        <x14:dataValidation type="list" allowBlank="1" showInputMessage="1" showErrorMessage="1" xr:uid="{704B21F3-DF04-4E03-9518-4FC5C17E11B8}">
          <x14:formula1>
            <xm:f>'ASSUMPTIONS 2'!$C$79:$C$80</xm:f>
          </x14:formula1>
          <xm:sqref>A20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95FF7-6115-4E8A-A793-8CAD822850C6}">
  <dimension ref="A3:P77"/>
  <sheetViews>
    <sheetView zoomScale="85" zoomScaleNormal="85" workbookViewId="0">
      <pane ySplit="4" topLeftCell="A5" activePane="bottomLeft" state="frozen"/>
      <selection activeCell="E4" sqref="E4:E10"/>
      <selection pane="bottomLeft" activeCell="A17" sqref="A17"/>
    </sheetView>
  </sheetViews>
  <sheetFormatPr defaultColWidth="8.796875" defaultRowHeight="18" x14ac:dyDescent="0.35"/>
  <cols>
    <col min="1" max="1" width="12.796875" style="1" customWidth="1"/>
    <col min="2" max="2" width="8.796875" style="1"/>
    <col min="3" max="3" width="46.69921875" style="1" customWidth="1"/>
    <col min="4" max="4" width="26.09765625" style="1" customWidth="1"/>
    <col min="5" max="5" width="8.796875" style="1"/>
    <col min="6" max="6" width="12.796875" style="1" customWidth="1"/>
    <col min="7" max="7" width="12.796875" style="6" customWidth="1"/>
    <col min="8" max="8" width="15.296875" style="1" customWidth="1"/>
    <col min="9" max="9" width="17.69921875" style="1" customWidth="1"/>
    <col min="10" max="10" width="20.3984375" style="6" customWidth="1"/>
    <col min="11" max="11" width="85.296875" style="1" customWidth="1"/>
    <col min="12" max="12" width="10.59765625" style="1" customWidth="1"/>
    <col min="13" max="13" width="36.59765625" style="1" customWidth="1"/>
    <col min="14" max="14" width="33.3984375" style="1" customWidth="1"/>
    <col min="15" max="15" width="32.59765625" style="1" customWidth="1"/>
    <col min="16" max="16" width="30.09765625" style="1" customWidth="1"/>
    <col min="17" max="17" width="43.796875" style="1" customWidth="1"/>
    <col min="18" max="18" width="36.09765625" style="1" bestFit="1" customWidth="1"/>
    <col min="19" max="16384" width="8.796875" style="1"/>
  </cols>
  <sheetData>
    <row r="3" spans="1:11" ht="45" customHeight="1" x14ac:dyDescent="0.35">
      <c r="B3" s="79" t="s">
        <v>83</v>
      </c>
      <c r="C3" s="79"/>
      <c r="D3" s="79"/>
      <c r="E3" s="79"/>
      <c r="F3" s="79"/>
      <c r="G3" s="79"/>
      <c r="H3" s="79"/>
      <c r="I3" s="79"/>
      <c r="J3" s="79"/>
      <c r="K3" s="79"/>
    </row>
    <row r="4" spans="1:11" ht="41.45" customHeight="1" x14ac:dyDescent="0.35">
      <c r="B4" s="13" t="s">
        <v>84</v>
      </c>
      <c r="C4" s="13" t="s">
        <v>1</v>
      </c>
      <c r="D4" s="13" t="s">
        <v>85</v>
      </c>
      <c r="E4" s="13" t="s">
        <v>2</v>
      </c>
      <c r="F4" s="13" t="s">
        <v>3</v>
      </c>
      <c r="G4" s="18" t="s">
        <v>86</v>
      </c>
      <c r="H4" s="16" t="s">
        <v>87</v>
      </c>
      <c r="I4" s="16" t="s">
        <v>88</v>
      </c>
      <c r="J4" s="18" t="s">
        <v>89</v>
      </c>
      <c r="K4" s="13" t="s">
        <v>4</v>
      </c>
    </row>
    <row r="5" spans="1:11" ht="31.9" customHeight="1" x14ac:dyDescent="0.35">
      <c r="B5" s="2">
        <v>1</v>
      </c>
      <c r="C5" s="3" t="s">
        <v>90</v>
      </c>
      <c r="D5" s="2" t="s">
        <v>91</v>
      </c>
      <c r="E5" s="2" t="s">
        <v>16</v>
      </c>
      <c r="F5" s="17">
        <f>CALCULATOR!E6</f>
        <v>715000</v>
      </c>
      <c r="G5" s="17">
        <f>VLOOKUP(D5,'ASSUMPTIONS 2'!$I$4:$N$105,6,0)</f>
        <v>3280</v>
      </c>
      <c r="H5" s="17">
        <v>50000</v>
      </c>
      <c r="I5" s="17">
        <f>ROUNDUP(F5/H5,0)</f>
        <v>15</v>
      </c>
      <c r="J5" s="17">
        <f t="shared" ref="J5:J17" si="0">G5*I5</f>
        <v>49200</v>
      </c>
      <c r="K5" s="2" t="s">
        <v>92</v>
      </c>
    </row>
    <row r="6" spans="1:11" ht="31.9" customHeight="1" x14ac:dyDescent="0.35">
      <c r="B6" s="2">
        <v>2</v>
      </c>
      <c r="C6" s="2" t="s">
        <v>93</v>
      </c>
      <c r="D6" s="2" t="s">
        <v>94</v>
      </c>
      <c r="E6" s="2" t="s">
        <v>36</v>
      </c>
      <c r="F6" s="17">
        <f>CALCULATOR!E12*CALCULATOR!E6*CALCULATOR!K5</f>
        <v>1573000.0000000002</v>
      </c>
      <c r="G6" s="17">
        <f>VLOOKUP(D6,'ASSUMPTIONS 2'!$I$4:$N$105,6,0)</f>
        <v>3250</v>
      </c>
      <c r="H6" s="19">
        <v>1500</v>
      </c>
      <c r="I6" s="17">
        <f>ROUNDUP(F6/H6,0)/10</f>
        <v>104.9</v>
      </c>
      <c r="J6" s="17">
        <f t="shared" si="0"/>
        <v>340925</v>
      </c>
      <c r="K6" s="2" t="s">
        <v>95</v>
      </c>
    </row>
    <row r="7" spans="1:11" ht="31.9" customHeight="1" x14ac:dyDescent="0.35">
      <c r="B7" s="2">
        <v>3</v>
      </c>
      <c r="C7" s="2" t="s">
        <v>96</v>
      </c>
      <c r="D7" s="2" t="s">
        <v>97</v>
      </c>
      <c r="E7" s="2" t="s">
        <v>98</v>
      </c>
      <c r="F7" s="17">
        <f>ROUNDUP(CALCULATOR!E6/CALCULATOR!E21,0)</f>
        <v>45</v>
      </c>
      <c r="G7" s="17">
        <f>VLOOKUP(D7,'ASSUMPTIONS 2'!$I$4:$N$105,6,0)</f>
        <v>12220</v>
      </c>
      <c r="H7" s="30">
        <v>2</v>
      </c>
      <c r="I7" s="17">
        <f>ROUNDUP(F7/H7,0)</f>
        <v>23</v>
      </c>
      <c r="J7" s="17">
        <f t="shared" si="0"/>
        <v>281060</v>
      </c>
      <c r="K7" s="2" t="s">
        <v>55</v>
      </c>
    </row>
    <row r="8" spans="1:11" ht="31.9" customHeight="1" x14ac:dyDescent="0.35">
      <c r="B8" s="2">
        <v>4</v>
      </c>
      <c r="C8" s="2" t="s">
        <v>99</v>
      </c>
      <c r="D8" s="2" t="s">
        <v>100</v>
      </c>
      <c r="E8" s="2" t="s">
        <v>98</v>
      </c>
      <c r="F8" s="17">
        <f>CALCULATOR!E25</f>
        <v>300</v>
      </c>
      <c r="G8" s="17">
        <f>VLOOKUP(D8,'ASSUMPTIONS 2'!$I$4:$N$105,6,0)</f>
        <v>5050</v>
      </c>
      <c r="H8" s="30">
        <v>10</v>
      </c>
      <c r="I8" s="17">
        <f>ROUNDUP(F8/H8,0)</f>
        <v>30</v>
      </c>
      <c r="J8" s="17">
        <f t="shared" si="0"/>
        <v>151500</v>
      </c>
      <c r="K8" s="3" t="s">
        <v>101</v>
      </c>
    </row>
    <row r="9" spans="1:11" ht="31.9" customHeight="1" x14ac:dyDescent="0.35">
      <c r="B9" s="76">
        <v>5</v>
      </c>
      <c r="C9" s="76" t="s">
        <v>102</v>
      </c>
      <c r="D9" s="2" t="s">
        <v>103</v>
      </c>
      <c r="E9" s="2" t="s">
        <v>98</v>
      </c>
      <c r="F9" s="17">
        <f>CALCULATOR!E6</f>
        <v>715000</v>
      </c>
      <c r="G9" s="17">
        <f>VLOOKUP(D9,'ASSUMPTIONS 2'!$I$4:$N$105,6,0)</f>
        <v>6020</v>
      </c>
      <c r="H9" s="30">
        <v>1250</v>
      </c>
      <c r="I9" s="17">
        <f>ROUNDUP(F9/H9,0)</f>
        <v>572</v>
      </c>
      <c r="J9" s="17">
        <f t="shared" si="0"/>
        <v>3443440</v>
      </c>
      <c r="K9" s="2" t="s">
        <v>104</v>
      </c>
    </row>
    <row r="10" spans="1:11" ht="31.9" customHeight="1" x14ac:dyDescent="0.35">
      <c r="A10" s="43"/>
      <c r="B10" s="77"/>
      <c r="C10" s="77"/>
      <c r="D10" s="2" t="s">
        <v>105</v>
      </c>
      <c r="E10" s="2" t="s">
        <v>98</v>
      </c>
      <c r="F10" s="17">
        <f>F9</f>
        <v>715000</v>
      </c>
      <c r="G10" s="17">
        <f>VLOOKUP(D10,'ASSUMPTIONS 2'!$I$4:$N$105,6,0)</f>
        <v>4720</v>
      </c>
      <c r="H10" s="30">
        <f>60/2.5*10</f>
        <v>240</v>
      </c>
      <c r="I10" s="17">
        <f>ROUNDUP(F10/H10,0)/'ASSUMPTIONS 2'!$D$10</f>
        <v>298</v>
      </c>
      <c r="J10" s="17">
        <f t="shared" si="0"/>
        <v>1406560</v>
      </c>
      <c r="K10" s="2"/>
    </row>
    <row r="11" spans="1:11" ht="31.9" customHeight="1" x14ac:dyDescent="0.35">
      <c r="A11" s="12"/>
      <c r="B11" s="77"/>
      <c r="C11" s="77"/>
      <c r="D11" s="2" t="s">
        <v>106</v>
      </c>
      <c r="E11" s="2" t="s">
        <v>61</v>
      </c>
      <c r="F11" s="17">
        <f>F10*CALCULATOR!E7/1000</f>
        <v>19305</v>
      </c>
      <c r="G11" s="17">
        <f>'ASSUMPTIONS 2'!D29</f>
        <v>175</v>
      </c>
      <c r="H11" s="30">
        <v>8</v>
      </c>
      <c r="I11" s="17">
        <f>F11/19*H11</f>
        <v>8128.4210526315792</v>
      </c>
      <c r="J11" s="17">
        <f t="shared" si="0"/>
        <v>1422473.6842105263</v>
      </c>
      <c r="K11" s="3" t="s">
        <v>107</v>
      </c>
    </row>
    <row r="12" spans="1:11" ht="31.9" customHeight="1" x14ac:dyDescent="0.35">
      <c r="A12" s="12"/>
      <c r="B12" s="77"/>
      <c r="C12" s="77"/>
      <c r="D12" s="2" t="s">
        <v>105</v>
      </c>
      <c r="E12" s="2" t="s">
        <v>61</v>
      </c>
      <c r="F12" s="17">
        <f>CALCULATOR!E24</f>
        <v>2430</v>
      </c>
      <c r="G12" s="17">
        <f>VLOOKUP(D12,'ASSUMPTIONS 2'!$I$4:$N$105,6,0)</f>
        <v>4720</v>
      </c>
      <c r="H12" s="30">
        <v>48</v>
      </c>
      <c r="I12" s="17">
        <f>F12/H12</f>
        <v>50.625</v>
      </c>
      <c r="J12" s="17">
        <f t="shared" si="0"/>
        <v>238950</v>
      </c>
      <c r="K12" s="3" t="s">
        <v>62</v>
      </c>
    </row>
    <row r="13" spans="1:11" ht="31.9" customHeight="1" x14ac:dyDescent="0.35">
      <c r="A13" s="12"/>
      <c r="B13" s="77"/>
      <c r="C13" s="77"/>
      <c r="D13" s="2" t="s">
        <v>108</v>
      </c>
      <c r="E13" s="2" t="s">
        <v>61</v>
      </c>
      <c r="F13" s="17">
        <f>F12</f>
        <v>2430</v>
      </c>
      <c r="G13" s="17">
        <f>'ASSUMPTIONS 2'!D29</f>
        <v>175</v>
      </c>
      <c r="H13" s="30"/>
      <c r="I13" s="17">
        <f>F13/24*8</f>
        <v>810</v>
      </c>
      <c r="J13" s="17">
        <f>I13*G13</f>
        <v>141750</v>
      </c>
      <c r="K13" s="3" t="s">
        <v>109</v>
      </c>
    </row>
    <row r="14" spans="1:11" ht="31.9" customHeight="1" x14ac:dyDescent="0.35">
      <c r="A14" s="12"/>
      <c r="B14" s="77"/>
      <c r="C14" s="77"/>
      <c r="D14" s="2" t="s">
        <v>110</v>
      </c>
      <c r="E14" s="2" t="s">
        <v>61</v>
      </c>
      <c r="F14" s="17">
        <f>F13</f>
        <v>2430</v>
      </c>
      <c r="G14" s="17"/>
      <c r="H14" s="30"/>
      <c r="I14" s="17"/>
      <c r="J14" s="17"/>
      <c r="K14" s="3" t="s">
        <v>111</v>
      </c>
    </row>
    <row r="15" spans="1:11" ht="31.9" customHeight="1" x14ac:dyDescent="0.35">
      <c r="A15" s="12"/>
      <c r="B15" s="78"/>
      <c r="C15" s="78"/>
      <c r="D15" s="2" t="s">
        <v>112</v>
      </c>
      <c r="E15" s="2" t="s">
        <v>61</v>
      </c>
      <c r="F15" s="17">
        <f>F11</f>
        <v>19305</v>
      </c>
      <c r="G15" s="17"/>
      <c r="H15" s="30"/>
      <c r="I15" s="17"/>
      <c r="J15" s="17"/>
      <c r="K15" s="3"/>
    </row>
    <row r="16" spans="1:11" ht="31.9" customHeight="1" x14ac:dyDescent="0.35">
      <c r="B16" s="2">
        <v>6</v>
      </c>
      <c r="C16" s="2" t="s">
        <v>113</v>
      </c>
      <c r="D16" s="2" t="str">
        <f>'ASSUMPTIONS 2'!I12</f>
        <v>Concrete Crew Total</v>
      </c>
      <c r="E16" s="2" t="s">
        <v>29</v>
      </c>
      <c r="F16" s="17">
        <f>CALCULATOR!E22*CALCULATOR!E23</f>
        <v>663.75</v>
      </c>
      <c r="G16" s="17">
        <f>VLOOKUP(D16,'ASSUMPTIONS 2'!$I$4:$N$105,6,0)</f>
        <v>6550</v>
      </c>
      <c r="H16" s="30">
        <v>25</v>
      </c>
      <c r="I16" s="17">
        <f>ROUNDUP(F16/H16,0)</f>
        <v>27</v>
      </c>
      <c r="J16" s="17">
        <f t="shared" si="0"/>
        <v>176850</v>
      </c>
      <c r="K16" s="3" t="s">
        <v>114</v>
      </c>
    </row>
    <row r="17" spans="1:11" ht="31.9" customHeight="1" x14ac:dyDescent="0.35">
      <c r="A17" s="114"/>
      <c r="B17" s="76">
        <v>7</v>
      </c>
      <c r="C17" s="76" t="s">
        <v>115</v>
      </c>
      <c r="D17" s="2" t="s">
        <v>116</v>
      </c>
      <c r="E17" s="2" t="s">
        <v>61</v>
      </c>
      <c r="F17" s="17">
        <f>$F$16*2.5</f>
        <v>1659.375</v>
      </c>
      <c r="G17" s="17">
        <f>VLOOKUP(D17,'ASSUMPTIONS 2'!I9:N94,6,0)</f>
        <v>23400</v>
      </c>
      <c r="H17" s="30">
        <v>150</v>
      </c>
      <c r="I17" s="17">
        <f>ROUNDUP(F17/H17,0)</f>
        <v>12</v>
      </c>
      <c r="J17" s="17">
        <f t="shared" si="0"/>
        <v>280800</v>
      </c>
      <c r="K17" s="2"/>
    </row>
    <row r="18" spans="1:11" ht="31.9" customHeight="1" x14ac:dyDescent="0.35">
      <c r="B18" s="77"/>
      <c r="C18" s="77"/>
      <c r="D18" s="2" t="s">
        <v>117</v>
      </c>
      <c r="E18" s="2" t="s">
        <v>61</v>
      </c>
      <c r="F18" s="17">
        <f>$F$16*2.5</f>
        <v>1659.375</v>
      </c>
      <c r="G18" s="17">
        <v>40</v>
      </c>
      <c r="H18" s="30"/>
      <c r="I18" s="17"/>
      <c r="J18" s="17">
        <f>F18*G18</f>
        <v>66375</v>
      </c>
      <c r="K18" s="2"/>
    </row>
    <row r="19" spans="1:11" ht="31.9" customHeight="1" x14ac:dyDescent="0.35">
      <c r="B19" s="78"/>
      <c r="C19" s="78"/>
      <c r="D19" s="2" t="s">
        <v>118</v>
      </c>
      <c r="E19" s="2" t="s">
        <v>61</v>
      </c>
      <c r="F19" s="17">
        <f>F16*0.15</f>
        <v>99.5625</v>
      </c>
      <c r="G19" s="17"/>
      <c r="H19" s="30"/>
      <c r="I19" s="17"/>
      <c r="J19" s="17"/>
      <c r="K19" s="2" t="s">
        <v>119</v>
      </c>
    </row>
    <row r="20" spans="1:11" ht="31.9" customHeight="1" x14ac:dyDescent="0.35">
      <c r="B20" s="81">
        <v>8</v>
      </c>
      <c r="C20" s="81" t="s">
        <v>120</v>
      </c>
      <c r="D20" s="2" t="s">
        <v>121</v>
      </c>
      <c r="E20" s="2" t="s">
        <v>98</v>
      </c>
      <c r="F20" s="17">
        <f>(1500/5*F8)*2*IF('ASSUMPTIONS 2'!$C$77=1,'ASSUMPTIONS 2'!$C$77,0)</f>
        <v>0</v>
      </c>
      <c r="G20" s="17">
        <f>VLOOKUP(D20,'ASSUMPTIONS 2'!$I$4:$N$105,6,0)</f>
        <v>2770</v>
      </c>
      <c r="H20" s="17">
        <f>60/15*10</f>
        <v>40</v>
      </c>
      <c r="I20" s="17">
        <f>ROUNDUP(F20/H20,0)/'ASSUMPTIONS 2'!$D$10</f>
        <v>0</v>
      </c>
      <c r="J20" s="17">
        <f>G20*I20</f>
        <v>0</v>
      </c>
      <c r="K20" s="2" t="s">
        <v>122</v>
      </c>
    </row>
    <row r="21" spans="1:11" ht="31.9" customHeight="1" x14ac:dyDescent="0.35">
      <c r="B21" s="81"/>
      <c r="C21" s="81"/>
      <c r="D21" s="2" t="s">
        <v>123</v>
      </c>
      <c r="E21" s="2" t="s">
        <v>29</v>
      </c>
      <c r="F21" s="17">
        <f>(1500/5*F8)*2*0.5*0.5*1*IF('ASSUMPTIONS 2'!$C$77=0,1,0)</f>
        <v>45000</v>
      </c>
      <c r="G21" s="17">
        <f>VLOOKUP(D21,'ASSUMPTIONS 2'!$I$4:$N$105,6,0)</f>
        <v>6550</v>
      </c>
      <c r="H21" s="17">
        <v>25</v>
      </c>
      <c r="I21" s="17">
        <f>ROUNDUP(F21/H21,0)/'ASSUMPTIONS 2'!$D$10</f>
        <v>180</v>
      </c>
      <c r="J21" s="17">
        <f>G21*I21</f>
        <v>1179000</v>
      </c>
      <c r="K21" s="2" t="s">
        <v>30</v>
      </c>
    </row>
    <row r="22" spans="1:11" ht="31.9" customHeight="1" x14ac:dyDescent="0.35">
      <c r="B22" s="81"/>
      <c r="C22" s="81"/>
      <c r="D22" s="2" t="s">
        <v>124</v>
      </c>
      <c r="E22" s="2" t="s">
        <v>61</v>
      </c>
      <c r="F22" s="17">
        <f>$F$20*0.125*IF('ASSUMPTIONS 2'!$C$77=1,'ASSUMPTIONS 2'!$C$77,0)</f>
        <v>0</v>
      </c>
      <c r="G22" s="17">
        <f>VLOOKUP(D22,'ASSUMPTIONS 2'!$I$4:$N$105,6,0)</f>
        <v>7900</v>
      </c>
      <c r="H22" s="17">
        <f>H20*0.125</f>
        <v>5</v>
      </c>
      <c r="I22" s="17">
        <f>ROUNDUP(F22/H22,0)/'ASSUMPTIONS 2'!$D$10</f>
        <v>0</v>
      </c>
      <c r="J22" s="17">
        <f>G22*I22</f>
        <v>0</v>
      </c>
      <c r="K22" s="3" t="s">
        <v>125</v>
      </c>
    </row>
    <row r="23" spans="1:11" ht="31.9" customHeight="1" x14ac:dyDescent="0.35">
      <c r="B23" s="81"/>
      <c r="C23" s="81"/>
      <c r="D23" s="2" t="s">
        <v>116</v>
      </c>
      <c r="E23" s="2" t="s">
        <v>61</v>
      </c>
      <c r="F23" s="17">
        <f>$F$21*2.5*IF('ASSUMPTIONS 2'!$C$77=0,1,0)</f>
        <v>112500</v>
      </c>
      <c r="G23" s="17">
        <f>VLOOKUP(D23,'ASSUMPTIONS 2'!$I$4:$N$105,6,0)</f>
        <v>23400</v>
      </c>
      <c r="H23" s="17">
        <v>150</v>
      </c>
      <c r="I23" s="17">
        <f>ROUNDUP(F23/H23,0)/'ASSUMPTIONS 2'!$D$10</f>
        <v>75</v>
      </c>
      <c r="J23" s="17">
        <f>G23*I23</f>
        <v>1755000</v>
      </c>
      <c r="K23" s="2" t="s">
        <v>30</v>
      </c>
    </row>
    <row r="24" spans="1:11" ht="31.9" customHeight="1" x14ac:dyDescent="0.35">
      <c r="B24" s="81"/>
      <c r="C24" s="81"/>
      <c r="D24" s="2" t="s">
        <v>126</v>
      </c>
      <c r="E24" s="2" t="s">
        <v>61</v>
      </c>
      <c r="F24" s="17">
        <f>$F$21*2.5-F25*IF('ASSUMPTIONS 2'!$C$77=0,1,0)</f>
        <v>107100</v>
      </c>
      <c r="G24" s="17">
        <f>G18</f>
        <v>40</v>
      </c>
      <c r="H24" s="17"/>
      <c r="I24" s="17"/>
      <c r="J24" s="17">
        <f>F24*G24</f>
        <v>4284000</v>
      </c>
      <c r="K24" s="2" t="s">
        <v>30</v>
      </c>
    </row>
    <row r="25" spans="1:11" ht="31.9" customHeight="1" x14ac:dyDescent="0.35">
      <c r="B25" s="81"/>
      <c r="C25" s="81"/>
      <c r="D25" s="2" t="s">
        <v>127</v>
      </c>
      <c r="E25" s="2" t="s">
        <v>61</v>
      </c>
      <c r="F25" s="17">
        <f>F21*0.12</f>
        <v>5400</v>
      </c>
      <c r="G25" s="17"/>
      <c r="H25" s="17"/>
      <c r="I25" s="17"/>
      <c r="J25" s="17"/>
      <c r="K25" s="3" t="s">
        <v>128</v>
      </c>
    </row>
    <row r="26" spans="1:11" ht="31.9" customHeight="1" x14ac:dyDescent="0.35">
      <c r="B26" s="81"/>
      <c r="C26" s="81"/>
      <c r="D26" s="2" t="s">
        <v>129</v>
      </c>
      <c r="E26" s="2" t="s">
        <v>61</v>
      </c>
      <c r="F26" s="17">
        <f>$F$20*0.125</f>
        <v>0</v>
      </c>
      <c r="G26" s="17"/>
      <c r="H26" s="17"/>
      <c r="I26" s="17"/>
      <c r="J26" s="17"/>
      <c r="K26" s="2" t="s">
        <v>130</v>
      </c>
    </row>
    <row r="27" spans="1:11" ht="31.9" customHeight="1" x14ac:dyDescent="0.35">
      <c r="A27" s="43"/>
      <c r="B27" s="81">
        <v>9</v>
      </c>
      <c r="C27" s="81" t="s">
        <v>131</v>
      </c>
      <c r="D27" s="2" t="s">
        <v>132</v>
      </c>
      <c r="E27" s="2" t="s">
        <v>36</v>
      </c>
      <c r="F27" s="2">
        <f>CALCULATOR!E14*'ASSUMPTIONS 1'!$F$7*CALCULATOR!K5</f>
        <v>6750</v>
      </c>
      <c r="G27" s="5">
        <f>VLOOKUP(D27,'ASSUMPTIONS 2'!$I$4:$N$105,6,0)</f>
        <v>8400</v>
      </c>
      <c r="H27" s="2">
        <v>20</v>
      </c>
      <c r="I27" s="2">
        <f>F27/H27/'ASSUMPTIONS 2'!$D$10</f>
        <v>33.75</v>
      </c>
      <c r="J27" s="17">
        <f>G27*I27</f>
        <v>283500</v>
      </c>
      <c r="K27" s="2" t="s">
        <v>39</v>
      </c>
    </row>
    <row r="28" spans="1:11" ht="31.9" customHeight="1" x14ac:dyDescent="0.35">
      <c r="B28" s="81"/>
      <c r="C28" s="81"/>
      <c r="D28" s="2" t="str">
        <f>'ASSUMPTIONS 2'!I70</f>
        <v>Pit Crew Total</v>
      </c>
      <c r="E28" s="2" t="s">
        <v>98</v>
      </c>
      <c r="F28" s="2">
        <f>F27/CALCULATOR!E15*CALCULATOR!K5</f>
        <v>27</v>
      </c>
      <c r="G28" s="5">
        <f>VLOOKUP(D28,'ASSUMPTIONS 2'!$I$4:$N$105,6,0)</f>
        <v>8550</v>
      </c>
      <c r="H28" s="2">
        <v>1</v>
      </c>
      <c r="I28" s="2">
        <f>F28/H28/'ASSUMPTIONS 2'!$D$10</f>
        <v>2.7</v>
      </c>
      <c r="J28" s="17">
        <f>G28*I28</f>
        <v>23085</v>
      </c>
      <c r="K28" s="2"/>
    </row>
    <row r="29" spans="1:11" ht="31.9" customHeight="1" x14ac:dyDescent="0.35">
      <c r="B29" s="81"/>
      <c r="C29" s="81"/>
      <c r="D29" s="2" t="s">
        <v>133</v>
      </c>
      <c r="E29" s="2" t="s">
        <v>36</v>
      </c>
      <c r="F29" s="2">
        <f>F27</f>
        <v>6750</v>
      </c>
      <c r="G29" s="5">
        <f>'ASSUMPTIONS 2'!D29</f>
        <v>175</v>
      </c>
      <c r="H29" s="2"/>
      <c r="I29" s="2">
        <v>16</v>
      </c>
      <c r="J29" s="17">
        <f>G29*I29</f>
        <v>2800</v>
      </c>
      <c r="K29" s="2" t="s">
        <v>134</v>
      </c>
    </row>
    <row r="30" spans="1:11" ht="31.9" customHeight="1" x14ac:dyDescent="0.35">
      <c r="B30" s="81"/>
      <c r="C30" s="81"/>
      <c r="D30" s="2" t="s">
        <v>135</v>
      </c>
      <c r="E30" s="2" t="s">
        <v>61</v>
      </c>
      <c r="F30" s="2">
        <f>F27*0.78*CALCULATOR!E13*CALCULATOR!K5</f>
        <v>21060</v>
      </c>
      <c r="G30" s="5">
        <v>65</v>
      </c>
      <c r="H30" s="2"/>
      <c r="I30" s="2"/>
      <c r="J30" s="17">
        <f>F30*G30</f>
        <v>1368900</v>
      </c>
      <c r="K30" s="3" t="s">
        <v>136</v>
      </c>
    </row>
    <row r="31" spans="1:11" ht="31.9" customHeight="1" x14ac:dyDescent="0.35">
      <c r="B31" s="81"/>
      <c r="C31" s="81"/>
      <c r="D31" s="2" t="s">
        <v>137</v>
      </c>
      <c r="E31" s="2" t="s">
        <v>61</v>
      </c>
      <c r="F31" s="2">
        <f>F28*1*CALCULATOR!K5</f>
        <v>27</v>
      </c>
      <c r="G31" s="5">
        <f>G18</f>
        <v>40</v>
      </c>
      <c r="H31" s="2"/>
      <c r="I31" s="2"/>
      <c r="J31" s="17">
        <f>F31*G31</f>
        <v>1080</v>
      </c>
      <c r="K31" s="2"/>
    </row>
    <row r="32" spans="1:11" ht="31.9" customHeight="1" x14ac:dyDescent="0.35">
      <c r="B32" s="81">
        <v>10</v>
      </c>
      <c r="C32" s="81" t="s">
        <v>138</v>
      </c>
      <c r="D32" s="2" t="s">
        <v>139</v>
      </c>
      <c r="E32" s="2" t="s">
        <v>46</v>
      </c>
      <c r="F32" s="39">
        <f>CALCULATOR!E17*CALCULATOR!K4</f>
        <v>346500</v>
      </c>
      <c r="G32" s="5">
        <f>VLOOKUP(D32,'ASSUMPTIONS 2'!$I$4:$N$105,6,0)</f>
        <v>9850</v>
      </c>
      <c r="H32" s="2">
        <v>120</v>
      </c>
      <c r="I32" s="2">
        <f>ROUNDUP(F32/H32,0)/'ASSUMPTIONS 2'!$D$10</f>
        <v>288.8</v>
      </c>
      <c r="J32" s="17">
        <f>I32*G32</f>
        <v>2844680</v>
      </c>
      <c r="K32" s="2" t="s">
        <v>47</v>
      </c>
    </row>
    <row r="33" spans="2:12" ht="31.9" customHeight="1" x14ac:dyDescent="0.35">
      <c r="B33" s="81"/>
      <c r="C33" s="81"/>
      <c r="D33" s="2" t="s">
        <v>140</v>
      </c>
      <c r="E33" s="2" t="s">
        <v>29</v>
      </c>
      <c r="F33" s="61">
        <f>F32*CALCULATOR!E18*CALCULATOR!K4</f>
        <v>51975</v>
      </c>
      <c r="G33" s="5">
        <f>VLOOKUP(D33,'ASSUMPTIONS 2'!$I$4:$N$105,6,0)</f>
        <v>28650</v>
      </c>
      <c r="H33" s="2">
        <v>30</v>
      </c>
      <c r="I33" s="2">
        <f>ROUNDUP(F33/H33,0)/'ASSUMPTIONS 2'!$D$10</f>
        <v>173.3</v>
      </c>
      <c r="J33" s="17">
        <f>I33*G33</f>
        <v>4965045</v>
      </c>
      <c r="K33" s="2" t="s">
        <v>141</v>
      </c>
    </row>
    <row r="34" spans="2:12" ht="31.9" customHeight="1" x14ac:dyDescent="0.35">
      <c r="B34" s="81"/>
      <c r="C34" s="81"/>
      <c r="D34" s="2" t="s">
        <v>117</v>
      </c>
      <c r="E34" s="2" t="s">
        <v>61</v>
      </c>
      <c r="F34" s="61">
        <f>F33*1.8*CALCULATOR!K4</f>
        <v>93555</v>
      </c>
      <c r="G34" s="5">
        <v>60</v>
      </c>
      <c r="H34" s="2"/>
      <c r="I34" s="2"/>
      <c r="J34" s="17">
        <f>F34*G34</f>
        <v>5613300</v>
      </c>
      <c r="K34" s="2"/>
    </row>
    <row r="35" spans="2:12" ht="31.9" customHeight="1" x14ac:dyDescent="0.35">
      <c r="B35" s="81">
        <v>11</v>
      </c>
      <c r="C35" s="81" t="s">
        <v>142</v>
      </c>
      <c r="D35" s="2" t="s">
        <v>143</v>
      </c>
      <c r="E35" s="2" t="s">
        <v>98</v>
      </c>
      <c r="F35" s="2">
        <v>1</v>
      </c>
      <c r="G35" s="5">
        <f>VLOOKUP(D35,'ASSUMPTIONS 2'!$I$4:$N$105,6,0)</f>
        <v>9500</v>
      </c>
      <c r="H35" s="2">
        <v>20</v>
      </c>
      <c r="I35" s="2">
        <f>F35*H35</f>
        <v>20</v>
      </c>
      <c r="J35" s="17">
        <f>I35*G35</f>
        <v>190000</v>
      </c>
      <c r="K35" s="2"/>
    </row>
    <row r="36" spans="2:12" ht="31.9" customHeight="1" x14ac:dyDescent="0.35">
      <c r="B36" s="81"/>
      <c r="C36" s="81"/>
      <c r="D36" s="2" t="s">
        <v>116</v>
      </c>
      <c r="E36" s="2" t="s">
        <v>61</v>
      </c>
      <c r="F36" s="2">
        <f>50*CALCULATOR!E20</f>
        <v>150</v>
      </c>
      <c r="G36" s="5">
        <f>VLOOKUP(D36,'ASSUMPTIONS 2'!$I$4:$N$105,6,0)</f>
        <v>23400</v>
      </c>
      <c r="H36" s="2">
        <v>150</v>
      </c>
      <c r="I36" s="2">
        <v>1</v>
      </c>
      <c r="J36" s="17">
        <f>I36*G36</f>
        <v>23400</v>
      </c>
      <c r="K36" s="2" t="s">
        <v>144</v>
      </c>
    </row>
    <row r="37" spans="2:12" ht="31.9" customHeight="1" x14ac:dyDescent="0.35">
      <c r="B37" s="81"/>
      <c r="C37" s="81"/>
      <c r="D37" s="2" t="s">
        <v>145</v>
      </c>
      <c r="E37" s="2" t="s">
        <v>61</v>
      </c>
      <c r="F37" s="2">
        <f>F36</f>
        <v>150</v>
      </c>
      <c r="G37" s="5">
        <v>300</v>
      </c>
      <c r="H37" s="2"/>
      <c r="I37" s="2"/>
      <c r="J37" s="17">
        <f>F37*G37</f>
        <v>45000</v>
      </c>
      <c r="K37" s="2"/>
    </row>
    <row r="38" spans="2:12" ht="31.9" customHeight="1" x14ac:dyDescent="0.35">
      <c r="B38" s="2">
        <v>12</v>
      </c>
      <c r="C38" s="2" t="s">
        <v>146</v>
      </c>
      <c r="D38" s="2" t="s">
        <v>147</v>
      </c>
      <c r="E38" s="2" t="s">
        <v>36</v>
      </c>
      <c r="F38" s="39">
        <f>SQRT(CALCULATOR!E5*10000)*4</f>
        <v>11966.620241321272</v>
      </c>
      <c r="G38" s="5">
        <f>VLOOKUP(D38,'ASSUMPTIONS 2'!$I$4:$N$105,6,0)</f>
        <v>4800</v>
      </c>
      <c r="H38" s="2">
        <v>500</v>
      </c>
      <c r="I38" s="40">
        <f>F38/H38</f>
        <v>23.933240482642546</v>
      </c>
      <c r="J38" s="17">
        <f>I38*G38</f>
        <v>114879.55431668423</v>
      </c>
      <c r="K38" s="2" t="s">
        <v>148</v>
      </c>
      <c r="L38" s="42"/>
    </row>
    <row r="39" spans="2:12" ht="31.9" customHeight="1" x14ac:dyDescent="0.35">
      <c r="B39" s="2">
        <v>12</v>
      </c>
      <c r="C39" s="2" t="s">
        <v>149</v>
      </c>
      <c r="D39" s="2" t="s">
        <v>150</v>
      </c>
      <c r="E39" s="2" t="s">
        <v>46</v>
      </c>
      <c r="F39" s="39">
        <f>F32+(F16/0.25)</f>
        <v>349155</v>
      </c>
      <c r="G39" s="5">
        <f>VLOOKUP(D39,'ASSUMPTIONS 2'!$I$4:$N$105,6,0)</f>
        <v>6550</v>
      </c>
      <c r="H39" s="2">
        <v>150</v>
      </c>
      <c r="I39" s="40">
        <f>F39/H39/'ASSUMPTIONS 2'!$D$10</f>
        <v>232.76999999999998</v>
      </c>
      <c r="J39" s="17">
        <f>I39*G39</f>
        <v>1524643.4999999998</v>
      </c>
      <c r="K39" s="2"/>
    </row>
    <row r="40" spans="2:12" ht="31.9" customHeight="1" x14ac:dyDescent="0.35">
      <c r="B40" s="2">
        <v>13</v>
      </c>
      <c r="C40" s="2" t="s">
        <v>151</v>
      </c>
      <c r="D40" s="2" t="s">
        <v>152</v>
      </c>
      <c r="E40" s="2" t="s">
        <v>65</v>
      </c>
      <c r="F40" s="2">
        <v>1.5</v>
      </c>
      <c r="G40" s="5"/>
      <c r="H40" s="2"/>
      <c r="I40" s="2"/>
      <c r="J40" s="17">
        <f>SUM(J5:J39)*F40/100</f>
        <v>483272.9510779081</v>
      </c>
      <c r="K40" s="2"/>
    </row>
    <row r="41" spans="2:12" ht="31.9" customHeight="1" x14ac:dyDescent="0.35">
      <c r="B41" s="2">
        <v>13</v>
      </c>
      <c r="C41" s="2" t="s">
        <v>153</v>
      </c>
      <c r="D41" s="2" t="s">
        <v>117</v>
      </c>
      <c r="E41" s="2" t="s">
        <v>61</v>
      </c>
      <c r="F41" s="2"/>
      <c r="G41" s="5"/>
      <c r="H41" s="2"/>
      <c r="I41" s="2"/>
      <c r="J41" s="17">
        <f>SUM(J6:J40)*F41/100</f>
        <v>0</v>
      </c>
      <c r="K41" s="2"/>
    </row>
    <row r="42" spans="2:12" ht="20.45" customHeight="1" x14ac:dyDescent="0.35">
      <c r="B42" s="80" t="s">
        <v>154</v>
      </c>
      <c r="C42" s="80"/>
      <c r="D42" s="80"/>
      <c r="E42" s="80"/>
      <c r="F42" s="80"/>
      <c r="G42" s="80"/>
      <c r="H42" s="80"/>
      <c r="I42" s="80"/>
      <c r="J42" s="56">
        <f>SUM(J5:J40)</f>
        <v>32701469.689605117</v>
      </c>
    </row>
    <row r="43" spans="2:12" x14ac:dyDescent="0.35">
      <c r="H43" s="1" t="s">
        <v>155</v>
      </c>
    </row>
    <row r="45" spans="2:12" ht="20.25" x14ac:dyDescent="0.35">
      <c r="B45" s="23" t="s">
        <v>155</v>
      </c>
      <c r="C45" s="24"/>
      <c r="D45" s="24"/>
      <c r="E45" s="24"/>
      <c r="F45" s="24"/>
      <c r="J45" s="24"/>
      <c r="K45" s="25"/>
    </row>
    <row r="46" spans="2:12" x14ac:dyDescent="0.35">
      <c r="B46" s="13" t="s">
        <v>84</v>
      </c>
      <c r="C46" s="13" t="s">
        <v>1</v>
      </c>
      <c r="D46" s="13" t="s">
        <v>2</v>
      </c>
      <c r="E46" s="13" t="s">
        <v>3</v>
      </c>
      <c r="F46" s="14" t="s">
        <v>156</v>
      </c>
      <c r="J46" s="13" t="s">
        <v>72</v>
      </c>
      <c r="K46" s="13" t="s">
        <v>4</v>
      </c>
    </row>
    <row r="47" spans="2:12" x14ac:dyDescent="0.35">
      <c r="B47" s="2">
        <v>1</v>
      </c>
      <c r="C47" s="2" t="s">
        <v>157</v>
      </c>
      <c r="D47" s="2" t="s">
        <v>36</v>
      </c>
      <c r="E47" s="17">
        <f>CALCULATOR!E16*2+1500*2*2</f>
        <v>106000</v>
      </c>
      <c r="F47" s="17">
        <v>7.5</v>
      </c>
      <c r="J47" s="17">
        <f t="shared" ref="J47:J52" si="1">E47*F47</f>
        <v>795000</v>
      </c>
      <c r="K47" s="2"/>
    </row>
    <row r="48" spans="2:12" x14ac:dyDescent="0.35">
      <c r="B48" s="2">
        <v>2</v>
      </c>
      <c r="C48" s="2" t="s">
        <v>158</v>
      </c>
      <c r="D48" s="2" t="s">
        <v>159</v>
      </c>
      <c r="E48" s="2">
        <v>45</v>
      </c>
      <c r="F48" s="17">
        <v>1500</v>
      </c>
      <c r="J48" s="17">
        <f t="shared" si="1"/>
        <v>67500</v>
      </c>
      <c r="K48" s="2" t="s">
        <v>160</v>
      </c>
    </row>
    <row r="49" spans="2:16" x14ac:dyDescent="0.35">
      <c r="B49" s="2">
        <v>3</v>
      </c>
      <c r="C49" s="2" t="s">
        <v>161</v>
      </c>
      <c r="D49" s="2" t="s">
        <v>162</v>
      </c>
      <c r="E49" s="2">
        <v>1</v>
      </c>
      <c r="F49" s="17">
        <v>200000</v>
      </c>
      <c r="J49" s="17">
        <f t="shared" si="1"/>
        <v>200000</v>
      </c>
      <c r="K49" s="2"/>
    </row>
    <row r="50" spans="2:16" x14ac:dyDescent="0.35">
      <c r="B50" s="2">
        <v>3</v>
      </c>
      <c r="C50" s="2" t="s">
        <v>163</v>
      </c>
      <c r="D50" s="2" t="s">
        <v>162</v>
      </c>
      <c r="E50" s="2">
        <v>0.33</v>
      </c>
      <c r="F50" s="17">
        <f>F49</f>
        <v>200000</v>
      </c>
      <c r="J50" s="17">
        <f t="shared" si="1"/>
        <v>66000</v>
      </c>
      <c r="K50" s="2"/>
    </row>
    <row r="51" spans="2:16" x14ac:dyDescent="0.35">
      <c r="B51" s="2">
        <v>3</v>
      </c>
      <c r="C51" s="2" t="s">
        <v>164</v>
      </c>
      <c r="D51" s="2" t="s">
        <v>159</v>
      </c>
      <c r="E51" s="2">
        <f>E48</f>
        <v>45</v>
      </c>
      <c r="F51" s="17">
        <v>15000</v>
      </c>
      <c r="J51" s="17">
        <f t="shared" si="1"/>
        <v>675000</v>
      </c>
      <c r="K51" s="2" t="s">
        <v>165</v>
      </c>
    </row>
    <row r="52" spans="2:16" x14ac:dyDescent="0.35">
      <c r="B52" s="2">
        <v>4</v>
      </c>
      <c r="C52" s="2" t="s">
        <v>166</v>
      </c>
      <c r="D52" s="2" t="s">
        <v>162</v>
      </c>
      <c r="E52" s="22">
        <v>5.0000000000000001E-3</v>
      </c>
      <c r="F52" s="17">
        <f>J42+SUM(J47:J51)</f>
        <v>34504969.689605117</v>
      </c>
      <c r="J52" s="17">
        <f t="shared" si="1"/>
        <v>172524.84844802559</v>
      </c>
      <c r="K52" s="15" t="s">
        <v>167</v>
      </c>
    </row>
    <row r="53" spans="2:16" x14ac:dyDescent="0.35">
      <c r="B53" s="71" t="s">
        <v>168</v>
      </c>
      <c r="C53" s="71"/>
      <c r="D53" s="71"/>
      <c r="E53" s="71"/>
      <c r="F53" s="71"/>
      <c r="J53" s="27">
        <f>SUM(J47:J52)</f>
        <v>1976024.8484480255</v>
      </c>
    </row>
    <row r="55" spans="2:16" x14ac:dyDescent="0.35">
      <c r="I55" s="1" t="s">
        <v>169</v>
      </c>
      <c r="J55" s="21">
        <f>J53+J42</f>
        <v>34677494.53805314</v>
      </c>
    </row>
    <row r="56" spans="2:16" x14ac:dyDescent="0.35">
      <c r="I56" s="26" t="s">
        <v>170</v>
      </c>
      <c r="J56" s="21">
        <f>J55*CALCULATOR!E37</f>
        <v>12137123.088318598</v>
      </c>
      <c r="K56" s="63"/>
    </row>
    <row r="57" spans="2:16" x14ac:dyDescent="0.35">
      <c r="J57" s="28">
        <f>+J56+J55</f>
        <v>46814617.626371741</v>
      </c>
    </row>
    <row r="58" spans="2:16" x14ac:dyDescent="0.35">
      <c r="I58" s="26" t="s">
        <v>171</v>
      </c>
      <c r="J58" s="21">
        <f>J57*CALCULATOR!E38</f>
        <v>11703654.406592935</v>
      </c>
      <c r="K58" s="64"/>
    </row>
    <row r="59" spans="2:16" x14ac:dyDescent="0.35">
      <c r="J59" s="28">
        <f>+J58+J57</f>
        <v>58518272.032964677</v>
      </c>
    </row>
    <row r="61" spans="2:16" x14ac:dyDescent="0.35">
      <c r="I61" s="45"/>
      <c r="J61" s="34"/>
    </row>
    <row r="62" spans="2:16" ht="18.75" thickBot="1" x14ac:dyDescent="0.4">
      <c r="I62" s="44"/>
    </row>
    <row r="63" spans="2:16" ht="18.75" thickBot="1" x14ac:dyDescent="0.4">
      <c r="C63" s="13" t="s">
        <v>172</v>
      </c>
      <c r="D63" s="2"/>
      <c r="E63" s="13" t="s">
        <v>2</v>
      </c>
      <c r="F63" s="13" t="s">
        <v>3</v>
      </c>
      <c r="G63" s="14" t="s">
        <v>156</v>
      </c>
      <c r="I63" s="14" t="s">
        <v>64</v>
      </c>
      <c r="J63" s="13" t="s">
        <v>72</v>
      </c>
      <c r="M63" s="48" t="s">
        <v>173</v>
      </c>
      <c r="N63" s="49" t="s">
        <v>174</v>
      </c>
      <c r="O63" s="49" t="s">
        <v>175</v>
      </c>
      <c r="P63" s="49" t="s">
        <v>176</v>
      </c>
    </row>
    <row r="64" spans="2:16" ht="19.5" thickTop="1" thickBot="1" x14ac:dyDescent="0.4">
      <c r="C64" s="2" t="s">
        <v>177</v>
      </c>
      <c r="D64" s="2"/>
      <c r="E64" s="2" t="s">
        <v>61</v>
      </c>
      <c r="F64" s="17">
        <f>F6*2.298/1000+$F$11*(CALCULATOR!E26/100)*CALCULATOR!K6</f>
        <v>5255.6790000000001</v>
      </c>
      <c r="G64" s="17">
        <f>_xlfn.XLOOKUP(C64,$M$64:$M$70,$P$64:$P$70,0)</f>
        <v>1000</v>
      </c>
      <c r="I64" s="17">
        <f>IF(CALCULATOR!$A$20="yes",1,0)</f>
        <v>1</v>
      </c>
      <c r="J64" s="20">
        <f>G64*F64*I64</f>
        <v>5255679</v>
      </c>
      <c r="M64" s="52" t="s">
        <v>177</v>
      </c>
      <c r="N64" s="112">
        <v>8.5000000000000006E-2</v>
      </c>
      <c r="O64" s="57" t="s">
        <v>178</v>
      </c>
      <c r="P64" s="113">
        <v>1000</v>
      </c>
    </row>
    <row r="65" spans="3:16" ht="18.75" thickBot="1" x14ac:dyDescent="0.4">
      <c r="C65" s="2" t="s">
        <v>179</v>
      </c>
      <c r="D65" s="2"/>
      <c r="E65" s="2" t="s">
        <v>61</v>
      </c>
      <c r="F65" s="17">
        <f>$F$11*(CALCULATOR!E27/100)*CALCULATOR!K7</f>
        <v>3088.8</v>
      </c>
      <c r="G65" s="17">
        <f t="shared" ref="G65:G69" si="2">_xlfn.XLOOKUP(C65,$M$64:$M$70,$P$64:$P$70,0)</f>
        <v>1000</v>
      </c>
      <c r="I65" s="17">
        <f>IF(CALCULATOR!$A$20="yes",1,0)</f>
        <v>1</v>
      </c>
      <c r="J65" s="20">
        <f t="shared" ref="J65:J71" si="3">G65*F65*I65</f>
        <v>3088800</v>
      </c>
      <c r="M65" s="52" t="s">
        <v>179</v>
      </c>
      <c r="N65" s="112">
        <v>0.16</v>
      </c>
      <c r="O65" s="57" t="s">
        <v>178</v>
      </c>
      <c r="P65" s="113">
        <v>1000</v>
      </c>
    </row>
    <row r="66" spans="3:16" ht="18.75" thickBot="1" x14ac:dyDescent="0.4">
      <c r="C66" s="2" t="s">
        <v>180</v>
      </c>
      <c r="D66" s="2"/>
      <c r="E66" s="2" t="s">
        <v>61</v>
      </c>
      <c r="F66" s="17">
        <f>$F$11*(CALCULATOR!E28/100)*CALCULATOR!K8</f>
        <v>463.32</v>
      </c>
      <c r="G66" s="17">
        <f t="shared" si="2"/>
        <v>5000</v>
      </c>
      <c r="I66" s="17">
        <f>IF(CALCULATOR!$A$20="yes",1,0)</f>
        <v>1</v>
      </c>
      <c r="J66" s="20">
        <f t="shared" si="3"/>
        <v>2316600</v>
      </c>
      <c r="M66" s="52" t="s">
        <v>180</v>
      </c>
      <c r="N66" s="112">
        <v>2.4E-2</v>
      </c>
      <c r="O66" s="57" t="s">
        <v>178</v>
      </c>
      <c r="P66" s="113">
        <v>5000</v>
      </c>
    </row>
    <row r="67" spans="3:16" ht="18.75" thickBot="1" x14ac:dyDescent="0.4">
      <c r="C67" s="2" t="s">
        <v>181</v>
      </c>
      <c r="D67" s="2"/>
      <c r="E67" s="2" t="s">
        <v>61</v>
      </c>
      <c r="F67" s="17">
        <f>$F$11*(CALCULATOR!E29/100)*CALCULATOR!K9</f>
        <v>868.72500000000002</v>
      </c>
      <c r="G67" s="17">
        <f t="shared" si="2"/>
        <v>100</v>
      </c>
      <c r="I67" s="17">
        <f>IF(CALCULATOR!$A$20="yes",1,0)</f>
        <v>1</v>
      </c>
      <c r="J67" s="20">
        <f t="shared" si="3"/>
        <v>86872.5</v>
      </c>
      <c r="M67" s="52" t="s">
        <v>181</v>
      </c>
      <c r="N67" s="112">
        <v>4.4999999999999998E-2</v>
      </c>
      <c r="O67" s="57" t="s">
        <v>178</v>
      </c>
      <c r="P67" s="113">
        <v>100</v>
      </c>
    </row>
    <row r="68" spans="3:16" ht="18.75" thickBot="1" x14ac:dyDescent="0.4">
      <c r="C68" s="2" t="s">
        <v>182</v>
      </c>
      <c r="D68" s="2"/>
      <c r="E68" s="2" t="s">
        <v>61</v>
      </c>
      <c r="F68" s="17">
        <f>$F$11*(CALCULATOR!E30/100)*CALCULATOR!K10</f>
        <v>11583</v>
      </c>
      <c r="G68" s="17">
        <f t="shared" si="2"/>
        <v>30</v>
      </c>
      <c r="I68" s="17">
        <f>IF(CALCULATOR!$A$20="yes",1,0)</f>
        <v>1</v>
      </c>
      <c r="J68" s="20">
        <f t="shared" si="3"/>
        <v>347490</v>
      </c>
      <c r="M68" s="52" t="s">
        <v>182</v>
      </c>
      <c r="N68" s="112">
        <v>0.6</v>
      </c>
      <c r="O68" s="57" t="s">
        <v>178</v>
      </c>
      <c r="P68" s="113">
        <v>30</v>
      </c>
    </row>
    <row r="69" spans="3:16" ht="18.75" thickBot="1" x14ac:dyDescent="0.4">
      <c r="C69" s="2" t="s">
        <v>183</v>
      </c>
      <c r="D69" s="2"/>
      <c r="E69" s="2" t="s">
        <v>61</v>
      </c>
      <c r="F69" s="17">
        <f>$F$11*(CALCULATOR!E31/100)*CALCULATOR!K11</f>
        <v>19.305</v>
      </c>
      <c r="G69" s="17">
        <f t="shared" si="2"/>
        <v>250000</v>
      </c>
      <c r="I69" s="17">
        <f>IF(CALCULATOR!$A$20="yes",1,0)</f>
        <v>1</v>
      </c>
      <c r="J69" s="20">
        <f t="shared" si="3"/>
        <v>4826250</v>
      </c>
      <c r="M69" s="52" t="s">
        <v>183</v>
      </c>
      <c r="N69" s="112">
        <v>1E-3</v>
      </c>
      <c r="O69" s="57" t="s">
        <v>178</v>
      </c>
      <c r="P69" s="113">
        <v>250000</v>
      </c>
    </row>
    <row r="70" spans="3:16" ht="18.75" thickBot="1" x14ac:dyDescent="0.4">
      <c r="C70" s="2" t="s">
        <v>184</v>
      </c>
      <c r="D70" s="2"/>
      <c r="E70" s="2" t="s">
        <v>61</v>
      </c>
      <c r="F70" s="17">
        <f>F13+F19</f>
        <v>2529.5625</v>
      </c>
      <c r="G70" s="17">
        <v>100</v>
      </c>
      <c r="I70" s="17">
        <f>IF(CALCULATOR!$A$20="yes",1,0)</f>
        <v>1</v>
      </c>
      <c r="J70" s="20">
        <f t="shared" si="3"/>
        <v>252956.25</v>
      </c>
      <c r="M70" s="52" t="s">
        <v>37</v>
      </c>
      <c r="N70" s="112">
        <v>8.5000000000000006E-2</v>
      </c>
      <c r="O70" s="57" t="s">
        <v>185</v>
      </c>
      <c r="P70" s="113">
        <v>300</v>
      </c>
    </row>
    <row r="71" spans="3:16" ht="18.75" thickBot="1" x14ac:dyDescent="0.4">
      <c r="C71" s="2" t="s">
        <v>186</v>
      </c>
      <c r="D71" s="2"/>
      <c r="E71" s="2" t="s">
        <v>61</v>
      </c>
      <c r="F71" s="17">
        <f>(F37+F31+F24+F18)*CALCULATOR!K13</f>
        <v>108936.375</v>
      </c>
      <c r="G71" s="17">
        <v>20</v>
      </c>
      <c r="I71" s="17">
        <f>IF(CALCULATOR!$A$20="yes",1,0)</f>
        <v>1</v>
      </c>
      <c r="J71" s="20">
        <f t="shared" si="3"/>
        <v>2178727.5</v>
      </c>
      <c r="M71" s="50" t="s">
        <v>187</v>
      </c>
      <c r="N71" s="55">
        <f>SUM(N64:N70)</f>
        <v>0.99999999999999989</v>
      </c>
      <c r="O71" s="53"/>
      <c r="P71" s="51"/>
    </row>
    <row r="72" spans="3:16" x14ac:dyDescent="0.35">
      <c r="I72" s="44"/>
      <c r="M72" s="54" t="s">
        <v>188</v>
      </c>
    </row>
    <row r="73" spans="3:16" x14ac:dyDescent="0.35">
      <c r="I73" s="44" t="s">
        <v>189</v>
      </c>
      <c r="J73" s="27">
        <f>SUM(J64:J72)</f>
        <v>18353375.25</v>
      </c>
      <c r="M73" s="54" t="s">
        <v>190</v>
      </c>
    </row>
    <row r="74" spans="3:16" x14ac:dyDescent="0.35">
      <c r="I74" s="44"/>
      <c r="M74" s="54" t="s">
        <v>191</v>
      </c>
    </row>
    <row r="75" spans="3:16" x14ac:dyDescent="0.35">
      <c r="I75" s="44"/>
    </row>
    <row r="76" spans="3:16" x14ac:dyDescent="0.35">
      <c r="I76" s="46" t="s">
        <v>192</v>
      </c>
      <c r="J76" s="28">
        <f>J59-J73</f>
        <v>40164896.782964677</v>
      </c>
    </row>
    <row r="77" spans="3:16" x14ac:dyDescent="0.35">
      <c r="I77" s="33"/>
      <c r="J77" s="32"/>
    </row>
  </sheetData>
  <sheetProtection algorithmName="SHA-512" hashValue="NXAlhlQVsKm6stybs48bV4SjPIBc4C5U0O2/cFElCeYHukqOdEhKVXDkhTm6YraDRmrlFf2WFpTT0+9hwvmOHQ==" saltValue="sx4qb5FRSN23XUZE2Qkv0g==" spinCount="100000" sheet="1" objects="1" scenarios="1"/>
  <mergeCells count="15">
    <mergeCell ref="B9:B15"/>
    <mergeCell ref="C9:C15"/>
    <mergeCell ref="B3:K3"/>
    <mergeCell ref="B53:F53"/>
    <mergeCell ref="B42:I42"/>
    <mergeCell ref="B17:B19"/>
    <mergeCell ref="C17:C19"/>
    <mergeCell ref="B20:B26"/>
    <mergeCell ref="C20:C26"/>
    <mergeCell ref="B32:B34"/>
    <mergeCell ref="C32:C34"/>
    <mergeCell ref="B35:B37"/>
    <mergeCell ref="C35:C37"/>
    <mergeCell ref="B27:B31"/>
    <mergeCell ref="C27:C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1D50C-7A3A-4F7F-8362-DBE3CB1F7BB9}">
  <dimension ref="A2:O102"/>
  <sheetViews>
    <sheetView zoomScale="85" zoomScaleNormal="85" workbookViewId="0">
      <selection activeCell="F23" sqref="F23"/>
    </sheetView>
  </sheetViews>
  <sheetFormatPr defaultColWidth="8.796875" defaultRowHeight="15" x14ac:dyDescent="0.35"/>
  <cols>
    <col min="1" max="1" width="8.796875" style="1"/>
    <col min="2" max="2" width="21.09765625" style="1" customWidth="1"/>
    <col min="3" max="4" width="8.796875" style="1"/>
    <col min="5" max="5" width="21.09765625" style="1" customWidth="1"/>
    <col min="6" max="8" width="8.796875" style="1"/>
    <col min="9" max="9" width="24.796875" style="1" customWidth="1"/>
    <col min="10" max="10" width="21.09765625" style="1" customWidth="1"/>
    <col min="11" max="13" width="8.796875" style="1"/>
    <col min="14" max="14" width="18.796875" style="6" customWidth="1"/>
    <col min="15" max="15" width="91" style="1" customWidth="1"/>
    <col min="16" max="16384" width="8.796875" style="1"/>
  </cols>
  <sheetData>
    <row r="2" spans="2:15" ht="27" customHeight="1" x14ac:dyDescent="0.35">
      <c r="B2" s="86" t="s">
        <v>193</v>
      </c>
      <c r="C2" s="87"/>
      <c r="D2" s="87"/>
      <c r="E2" s="88"/>
      <c r="I2" s="86" t="s">
        <v>194</v>
      </c>
      <c r="J2" s="87"/>
      <c r="K2" s="87"/>
      <c r="L2" s="87"/>
      <c r="M2" s="87"/>
      <c r="N2" s="87"/>
      <c r="O2" s="88"/>
    </row>
    <row r="3" spans="2:15" ht="35.450000000000003" customHeight="1" x14ac:dyDescent="0.35">
      <c r="B3" s="2" t="s">
        <v>1</v>
      </c>
      <c r="C3" s="2" t="s">
        <v>2</v>
      </c>
      <c r="D3" s="2" t="s">
        <v>156</v>
      </c>
      <c r="E3" s="2" t="s">
        <v>4</v>
      </c>
      <c r="I3" s="4" t="s">
        <v>1</v>
      </c>
      <c r="J3" s="4" t="s">
        <v>195</v>
      </c>
      <c r="K3" s="4" t="s">
        <v>2</v>
      </c>
      <c r="L3" s="4" t="s">
        <v>196</v>
      </c>
      <c r="M3" s="4" t="s">
        <v>156</v>
      </c>
      <c r="N3" s="7" t="s">
        <v>197</v>
      </c>
      <c r="O3" s="7" t="s">
        <v>4</v>
      </c>
    </row>
    <row r="4" spans="2:15" ht="18" x14ac:dyDescent="0.35">
      <c r="B4" s="2" t="s">
        <v>198</v>
      </c>
      <c r="C4" s="81" t="s">
        <v>199</v>
      </c>
      <c r="D4" s="115">
        <v>65</v>
      </c>
      <c r="E4" s="2" t="s">
        <v>200</v>
      </c>
      <c r="I4" s="2" t="s">
        <v>201</v>
      </c>
      <c r="J4" s="2" t="s">
        <v>202</v>
      </c>
      <c r="K4" s="2" t="s">
        <v>203</v>
      </c>
      <c r="L4" s="2">
        <f>$D$10*4</f>
        <v>40</v>
      </c>
      <c r="M4" s="2">
        <f>VLOOKUP(J4,$B$4:$E$8,3,0)</f>
        <v>82</v>
      </c>
      <c r="N4" s="5">
        <f>L4*M4</f>
        <v>3280</v>
      </c>
      <c r="O4" s="2" t="s">
        <v>204</v>
      </c>
    </row>
    <row r="5" spans="2:15" ht="18" x14ac:dyDescent="0.35">
      <c r="B5" s="2" t="s">
        <v>205</v>
      </c>
      <c r="C5" s="81"/>
      <c r="D5" s="115">
        <v>75</v>
      </c>
      <c r="E5" s="2" t="s">
        <v>206</v>
      </c>
      <c r="I5" s="8" t="s">
        <v>91</v>
      </c>
      <c r="J5" s="2"/>
      <c r="K5" s="2"/>
      <c r="L5" s="2"/>
      <c r="M5" s="2"/>
      <c r="N5" s="9">
        <f>N4</f>
        <v>3280</v>
      </c>
      <c r="O5" s="2"/>
    </row>
    <row r="6" spans="2:15" ht="18" x14ac:dyDescent="0.35">
      <c r="B6" s="2" t="s">
        <v>202</v>
      </c>
      <c r="C6" s="81"/>
      <c r="D6" s="115">
        <v>82</v>
      </c>
      <c r="E6" s="2" t="s">
        <v>207</v>
      </c>
      <c r="I6" s="10"/>
      <c r="J6" s="10"/>
      <c r="K6" s="10"/>
      <c r="L6" s="10"/>
      <c r="M6" s="10"/>
      <c r="N6" s="11"/>
      <c r="O6" s="10"/>
    </row>
    <row r="7" spans="2:15" ht="18" x14ac:dyDescent="0.35">
      <c r="B7" s="2" t="s">
        <v>208</v>
      </c>
      <c r="C7" s="81"/>
      <c r="D7" s="115">
        <v>86</v>
      </c>
      <c r="E7" s="2" t="s">
        <v>209</v>
      </c>
      <c r="I7" s="2" t="s">
        <v>210</v>
      </c>
      <c r="J7" s="2" t="s">
        <v>211</v>
      </c>
      <c r="K7" s="2" t="s">
        <v>203</v>
      </c>
      <c r="L7" s="2">
        <f>$D$10*1</f>
        <v>10</v>
      </c>
      <c r="M7" s="2">
        <f>VLOOKUP(J7,$B$15:$E$32,3,0)</f>
        <v>175</v>
      </c>
      <c r="N7" s="5">
        <f t="shared" ref="N7:N11" si="0">L7*M7</f>
        <v>1750</v>
      </c>
      <c r="O7" s="2"/>
    </row>
    <row r="8" spans="2:15" ht="18" x14ac:dyDescent="0.35">
      <c r="B8" s="2" t="s">
        <v>212</v>
      </c>
      <c r="C8" s="81"/>
      <c r="D8" s="115">
        <v>110</v>
      </c>
      <c r="E8" s="2" t="s">
        <v>212</v>
      </c>
      <c r="I8" s="2" t="s">
        <v>213</v>
      </c>
      <c r="J8" s="2" t="s">
        <v>214</v>
      </c>
      <c r="K8" s="2" t="s">
        <v>203</v>
      </c>
      <c r="L8" s="2">
        <f>$D$10*1</f>
        <v>10</v>
      </c>
      <c r="M8" s="2">
        <f>VLOOKUP(J8,$B$15:$E$32,3,0)/$D$10</f>
        <v>20</v>
      </c>
      <c r="N8" s="5">
        <f t="shared" si="0"/>
        <v>200</v>
      </c>
      <c r="O8" s="2"/>
    </row>
    <row r="9" spans="2:15" ht="18" x14ac:dyDescent="0.35">
      <c r="I9" s="2" t="s">
        <v>215</v>
      </c>
      <c r="J9" s="2" t="s">
        <v>216</v>
      </c>
      <c r="K9" s="2" t="s">
        <v>203</v>
      </c>
      <c r="L9" s="2">
        <f>$D$10*2</f>
        <v>20</v>
      </c>
      <c r="M9" s="2">
        <f>VLOOKUP(J9,$B$15:$E$32,3,0)</f>
        <v>150</v>
      </c>
      <c r="N9" s="5">
        <f t="shared" si="0"/>
        <v>3000</v>
      </c>
      <c r="O9" s="2" t="s">
        <v>217</v>
      </c>
    </row>
    <row r="10" spans="2:15" ht="18" x14ac:dyDescent="0.35">
      <c r="B10" s="1" t="s">
        <v>218</v>
      </c>
      <c r="C10" s="1" t="s">
        <v>203</v>
      </c>
      <c r="D10" s="1">
        <v>10</v>
      </c>
      <c r="I10" s="2" t="s">
        <v>219</v>
      </c>
      <c r="J10" s="2" t="s">
        <v>198</v>
      </c>
      <c r="K10" s="2" t="s">
        <v>203</v>
      </c>
      <c r="L10" s="2">
        <f>$D$10*2</f>
        <v>20</v>
      </c>
      <c r="M10" s="2">
        <f>VLOOKUP(J10,$B$4:$E$8,3,0)</f>
        <v>65</v>
      </c>
      <c r="N10" s="5">
        <f t="shared" si="0"/>
        <v>1300</v>
      </c>
      <c r="O10" s="2" t="s">
        <v>220</v>
      </c>
    </row>
    <row r="11" spans="2:15" ht="18" x14ac:dyDescent="0.35">
      <c r="I11" s="2" t="s">
        <v>221</v>
      </c>
      <c r="J11" s="2" t="s">
        <v>222</v>
      </c>
      <c r="K11" s="2" t="s">
        <v>203</v>
      </c>
      <c r="L11" s="2">
        <f>$D$10*2</f>
        <v>20</v>
      </c>
      <c r="M11" s="2">
        <f>VLOOKUP(J11,$B$15:$E$32,3,0)</f>
        <v>15</v>
      </c>
      <c r="N11" s="5">
        <f t="shared" si="0"/>
        <v>300</v>
      </c>
      <c r="O11" s="2"/>
    </row>
    <row r="12" spans="2:15" ht="18" x14ac:dyDescent="0.35">
      <c r="I12" s="8" t="s">
        <v>123</v>
      </c>
      <c r="J12" s="2"/>
      <c r="K12" s="2"/>
      <c r="L12" s="2"/>
      <c r="M12" s="2"/>
      <c r="N12" s="9">
        <f>SUM(N7:N11)</f>
        <v>6550</v>
      </c>
      <c r="O12" s="2"/>
    </row>
    <row r="13" spans="2:15" ht="20.25" x14ac:dyDescent="0.35">
      <c r="B13" s="70" t="s">
        <v>223</v>
      </c>
      <c r="C13" s="70"/>
      <c r="D13" s="70"/>
      <c r="E13" s="70"/>
      <c r="I13" s="10"/>
      <c r="J13" s="10"/>
      <c r="K13" s="10"/>
      <c r="L13" s="10"/>
      <c r="M13" s="10"/>
      <c r="N13" s="11"/>
      <c r="O13" s="10"/>
    </row>
    <row r="14" spans="2:15" ht="19.899999999999999" customHeight="1" x14ac:dyDescent="0.35">
      <c r="B14" s="2" t="s">
        <v>1</v>
      </c>
      <c r="C14" s="2" t="s">
        <v>2</v>
      </c>
      <c r="D14" s="2" t="s">
        <v>156</v>
      </c>
      <c r="E14" s="2" t="s">
        <v>4</v>
      </c>
      <c r="I14" s="2" t="s">
        <v>224</v>
      </c>
      <c r="J14" s="2" t="s">
        <v>225</v>
      </c>
      <c r="K14" s="2" t="s">
        <v>203</v>
      </c>
      <c r="L14" s="2">
        <f>$D$10*1</f>
        <v>10</v>
      </c>
      <c r="M14" s="2">
        <f>VLOOKUP(J14,$B$15:$E$32,3,0)</f>
        <v>160</v>
      </c>
      <c r="N14" s="5">
        <f t="shared" ref="N14:N18" si="1">L14*M14</f>
        <v>1600</v>
      </c>
      <c r="O14" s="2"/>
    </row>
    <row r="15" spans="2:15" ht="18" x14ac:dyDescent="0.35">
      <c r="B15" s="2" t="s">
        <v>211</v>
      </c>
      <c r="C15" s="2" t="s">
        <v>203</v>
      </c>
      <c r="D15" s="108">
        <v>175</v>
      </c>
      <c r="E15" s="116"/>
      <c r="I15" s="2" t="s">
        <v>215</v>
      </c>
      <c r="J15" s="2" t="s">
        <v>216</v>
      </c>
      <c r="K15" s="2" t="s">
        <v>203</v>
      </c>
      <c r="L15" s="2">
        <f>$D$10*2</f>
        <v>20</v>
      </c>
      <c r="M15" s="2">
        <f>VLOOKUP(J15,$B$15:$E$32,3,0)</f>
        <v>150</v>
      </c>
      <c r="N15" s="5">
        <f t="shared" si="1"/>
        <v>3000</v>
      </c>
      <c r="O15" s="2" t="s">
        <v>217</v>
      </c>
    </row>
    <row r="16" spans="2:15" ht="18" x14ac:dyDescent="0.35">
      <c r="B16" s="2" t="s">
        <v>225</v>
      </c>
      <c r="C16" s="2" t="s">
        <v>203</v>
      </c>
      <c r="D16" s="108">
        <v>160</v>
      </c>
      <c r="E16" s="116"/>
      <c r="I16" s="2" t="s">
        <v>219</v>
      </c>
      <c r="J16" s="2" t="s">
        <v>198</v>
      </c>
      <c r="K16" s="2" t="s">
        <v>203</v>
      </c>
      <c r="L16" s="2">
        <f>$D$10*2</f>
        <v>20</v>
      </c>
      <c r="M16" s="2">
        <f>VLOOKUP(J16,$B$4:$E$8,3,0)</f>
        <v>65</v>
      </c>
      <c r="N16" s="5">
        <f t="shared" si="1"/>
        <v>1300</v>
      </c>
      <c r="O16" s="2" t="s">
        <v>226</v>
      </c>
    </row>
    <row r="17" spans="1:15" ht="18" x14ac:dyDescent="0.35">
      <c r="A17" s="114"/>
      <c r="B17" s="2" t="s">
        <v>227</v>
      </c>
      <c r="C17" s="2" t="s">
        <v>203</v>
      </c>
      <c r="D17" s="108">
        <v>135</v>
      </c>
      <c r="E17" s="116"/>
      <c r="I17" s="2" t="s">
        <v>228</v>
      </c>
      <c r="J17" s="2" t="s">
        <v>229</v>
      </c>
      <c r="K17" s="2" t="s">
        <v>203</v>
      </c>
      <c r="L17" s="2">
        <f>$D$10*1</f>
        <v>10</v>
      </c>
      <c r="M17" s="2">
        <f>VLOOKUP(J17,$B$15:$E$32,3,0)</f>
        <v>120</v>
      </c>
      <c r="N17" s="5">
        <f t="shared" si="1"/>
        <v>1200</v>
      </c>
      <c r="O17" s="2"/>
    </row>
    <row r="18" spans="1:15" ht="18" x14ac:dyDescent="0.35">
      <c r="B18" s="2" t="s">
        <v>230</v>
      </c>
      <c r="C18" s="2" t="s">
        <v>231</v>
      </c>
      <c r="D18" s="108">
        <v>120</v>
      </c>
      <c r="E18" s="116"/>
      <c r="I18" s="2" t="s">
        <v>232</v>
      </c>
      <c r="J18" s="2" t="s">
        <v>233</v>
      </c>
      <c r="K18" s="2" t="s">
        <v>203</v>
      </c>
      <c r="L18" s="2">
        <f>$D$10*1</f>
        <v>10</v>
      </c>
      <c r="M18" s="2">
        <f>VLOOKUP(J18,$B$15:$E$32,3,0)</f>
        <v>130</v>
      </c>
      <c r="N18" s="5">
        <f t="shared" si="1"/>
        <v>1300</v>
      </c>
      <c r="O18" s="2"/>
    </row>
    <row r="19" spans="1:15" ht="18" x14ac:dyDescent="0.35">
      <c r="B19" s="2" t="s">
        <v>216</v>
      </c>
      <c r="C19" s="2" t="s">
        <v>203</v>
      </c>
      <c r="D19" s="108">
        <v>150</v>
      </c>
      <c r="E19" s="116"/>
      <c r="I19" s="2"/>
      <c r="J19" s="2"/>
      <c r="K19" s="2"/>
      <c r="L19" s="2"/>
      <c r="M19" s="2"/>
      <c r="N19" s="5"/>
      <c r="O19" s="2"/>
    </row>
    <row r="20" spans="1:15" ht="18" x14ac:dyDescent="0.35">
      <c r="B20" s="2" t="s">
        <v>229</v>
      </c>
      <c r="C20" s="2" t="s">
        <v>203</v>
      </c>
      <c r="D20" s="108">
        <v>120</v>
      </c>
      <c r="E20" s="116"/>
      <c r="I20" s="8" t="s">
        <v>132</v>
      </c>
      <c r="J20" s="2"/>
      <c r="K20" s="2"/>
      <c r="L20" s="2"/>
      <c r="M20" s="2"/>
      <c r="N20" s="9">
        <f>SUM(N14:N18)</f>
        <v>8400</v>
      </c>
      <c r="O20" s="2"/>
    </row>
    <row r="21" spans="1:15" ht="18" x14ac:dyDescent="0.35">
      <c r="B21" s="2" t="s">
        <v>233</v>
      </c>
      <c r="C21" s="2" t="s">
        <v>203</v>
      </c>
      <c r="D21" s="108">
        <v>130</v>
      </c>
      <c r="E21" s="116"/>
      <c r="I21" s="10"/>
      <c r="J21" s="10"/>
      <c r="K21" s="10"/>
      <c r="L21" s="10"/>
      <c r="M21" s="10"/>
      <c r="N21" s="11"/>
      <c r="O21" s="10"/>
    </row>
    <row r="22" spans="1:15" ht="18" x14ac:dyDescent="0.35">
      <c r="B22" s="2" t="s">
        <v>234</v>
      </c>
      <c r="C22" s="2" t="s">
        <v>203</v>
      </c>
      <c r="D22" s="108">
        <v>210</v>
      </c>
      <c r="E22" s="116"/>
      <c r="I22" s="2" t="s">
        <v>224</v>
      </c>
      <c r="J22" s="2" t="s">
        <v>225</v>
      </c>
      <c r="K22" s="2" t="s">
        <v>203</v>
      </c>
      <c r="L22" s="2">
        <f>$D$10*1</f>
        <v>10</v>
      </c>
      <c r="M22" s="2">
        <f>VLOOKUP(J22,$B$15:$E$32,3,0)</f>
        <v>160</v>
      </c>
      <c r="N22" s="5">
        <f t="shared" ref="N22:N27" si="2">L22*M22</f>
        <v>1600</v>
      </c>
      <c r="O22" s="2"/>
    </row>
    <row r="23" spans="1:15" ht="18" x14ac:dyDescent="0.35">
      <c r="B23" s="2" t="s">
        <v>222</v>
      </c>
      <c r="C23" s="2" t="s">
        <v>203</v>
      </c>
      <c r="D23" s="108">
        <v>15</v>
      </c>
      <c r="E23" s="116"/>
      <c r="I23" s="2" t="s">
        <v>215</v>
      </c>
      <c r="J23" s="2" t="s">
        <v>216</v>
      </c>
      <c r="K23" s="2" t="s">
        <v>203</v>
      </c>
      <c r="L23" s="2">
        <f>$D$10*2</f>
        <v>20</v>
      </c>
      <c r="M23" s="2">
        <f>VLOOKUP(J23,$B$15:$E$32,3,0)</f>
        <v>150</v>
      </c>
      <c r="N23" s="5">
        <f t="shared" si="2"/>
        <v>3000</v>
      </c>
      <c r="O23" s="2" t="s">
        <v>217</v>
      </c>
    </row>
    <row r="24" spans="1:15" ht="18" x14ac:dyDescent="0.35">
      <c r="B24" s="2" t="s">
        <v>235</v>
      </c>
      <c r="C24" s="2" t="s">
        <v>203</v>
      </c>
      <c r="D24" s="108">
        <v>300</v>
      </c>
      <c r="E24" s="116"/>
      <c r="I24" s="2" t="s">
        <v>236</v>
      </c>
      <c r="J24" s="2" t="s">
        <v>234</v>
      </c>
      <c r="K24" s="2" t="s">
        <v>203</v>
      </c>
      <c r="L24" s="2">
        <f>$D$10*1</f>
        <v>10</v>
      </c>
      <c r="M24" s="2">
        <f>VLOOKUP(J24,$B$15:$E$32,3,0)</f>
        <v>210</v>
      </c>
      <c r="N24" s="5">
        <f t="shared" si="2"/>
        <v>2100</v>
      </c>
      <c r="O24" s="2"/>
    </row>
    <row r="25" spans="1:15" ht="18" x14ac:dyDescent="0.35">
      <c r="B25" s="2" t="s">
        <v>237</v>
      </c>
      <c r="C25" s="2" t="s">
        <v>231</v>
      </c>
      <c r="D25" s="108">
        <v>420</v>
      </c>
      <c r="E25" s="116"/>
      <c r="I25" s="2" t="s">
        <v>228</v>
      </c>
      <c r="J25" s="2" t="s">
        <v>229</v>
      </c>
      <c r="K25" s="2" t="s">
        <v>203</v>
      </c>
      <c r="L25" s="2">
        <f>$D$10*1</f>
        <v>10</v>
      </c>
      <c r="M25" s="2">
        <f>VLOOKUP(J25,$B$15:$E$32,3,0)</f>
        <v>120</v>
      </c>
      <c r="N25" s="5">
        <f t="shared" si="2"/>
        <v>1200</v>
      </c>
      <c r="O25" s="2"/>
    </row>
    <row r="26" spans="1:15" ht="18" x14ac:dyDescent="0.35">
      <c r="B26" s="2" t="s">
        <v>238</v>
      </c>
      <c r="C26" s="2" t="s">
        <v>203</v>
      </c>
      <c r="D26" s="108">
        <v>850</v>
      </c>
      <c r="E26" s="116"/>
      <c r="I26" s="2" t="s">
        <v>232</v>
      </c>
      <c r="J26" s="2" t="s">
        <v>233</v>
      </c>
      <c r="K26" s="2" t="s">
        <v>203</v>
      </c>
      <c r="L26" s="2">
        <f>$D$10*1</f>
        <v>10</v>
      </c>
      <c r="M26" s="2">
        <f>VLOOKUP(J26,$B$15:$E$32,3,0)</f>
        <v>130</v>
      </c>
      <c r="N26" s="5">
        <f t="shared" si="2"/>
        <v>1300</v>
      </c>
      <c r="O26" s="2"/>
    </row>
    <row r="27" spans="1:15" ht="18" x14ac:dyDescent="0.35">
      <c r="B27" s="2" t="s">
        <v>239</v>
      </c>
      <c r="C27" s="2" t="s">
        <v>203</v>
      </c>
      <c r="D27" s="108">
        <v>750</v>
      </c>
      <c r="E27" s="116"/>
      <c r="I27" s="2" t="s">
        <v>219</v>
      </c>
      <c r="J27" s="2" t="s">
        <v>198</v>
      </c>
      <c r="K27" s="2" t="s">
        <v>203</v>
      </c>
      <c r="L27" s="2">
        <f>$D$10*1</f>
        <v>10</v>
      </c>
      <c r="M27" s="2">
        <f>VLOOKUP(J27,$B$4:$E$8,3,0)</f>
        <v>65</v>
      </c>
      <c r="N27" s="5">
        <f t="shared" si="2"/>
        <v>650</v>
      </c>
      <c r="O27" s="2"/>
    </row>
    <row r="28" spans="1:15" ht="18" x14ac:dyDescent="0.35">
      <c r="B28" s="2" t="s">
        <v>214</v>
      </c>
      <c r="C28" s="2" t="s">
        <v>231</v>
      </c>
      <c r="D28" s="108">
        <v>200</v>
      </c>
      <c r="E28" s="116"/>
      <c r="I28" s="8" t="s">
        <v>139</v>
      </c>
      <c r="J28" s="2"/>
      <c r="K28" s="2"/>
      <c r="L28" s="2"/>
      <c r="M28" s="2"/>
      <c r="N28" s="9">
        <f>SUM(N22:N27)</f>
        <v>9850</v>
      </c>
      <c r="O28" s="2"/>
    </row>
    <row r="29" spans="1:15" ht="18" x14ac:dyDescent="0.35">
      <c r="B29" s="2" t="s">
        <v>106</v>
      </c>
      <c r="C29" s="2" t="s">
        <v>203</v>
      </c>
      <c r="D29" s="108">
        <v>175</v>
      </c>
      <c r="E29" s="116"/>
      <c r="I29" s="10"/>
      <c r="J29" s="10"/>
      <c r="K29" s="10"/>
      <c r="L29" s="10"/>
      <c r="M29" s="10"/>
      <c r="N29" s="11"/>
      <c r="O29" s="10"/>
    </row>
    <row r="30" spans="1:15" ht="18" x14ac:dyDescent="0.35">
      <c r="B30" s="2" t="s">
        <v>240</v>
      </c>
      <c r="C30" s="2" t="s">
        <v>231</v>
      </c>
      <c r="D30" s="108">
        <v>150</v>
      </c>
      <c r="E30" s="116"/>
      <c r="I30" s="2" t="s">
        <v>210</v>
      </c>
      <c r="J30" s="2" t="s">
        <v>211</v>
      </c>
      <c r="K30" s="2" t="s">
        <v>203</v>
      </c>
      <c r="L30" s="2">
        <f>$D$10*1</f>
        <v>10</v>
      </c>
      <c r="M30" s="2">
        <f>VLOOKUP(J30,$B$15:$E$32,3,0)</f>
        <v>175</v>
      </c>
      <c r="N30" s="5">
        <f t="shared" ref="N30:N34" si="3">L30*M30</f>
        <v>1750</v>
      </c>
      <c r="O30" s="41"/>
    </row>
    <row r="31" spans="1:15" ht="18" x14ac:dyDescent="0.35">
      <c r="B31" s="2" t="s">
        <v>241</v>
      </c>
      <c r="C31" s="2" t="s">
        <v>203</v>
      </c>
      <c r="D31" s="108">
        <v>12</v>
      </c>
      <c r="E31" s="116"/>
      <c r="I31" s="2" t="s">
        <v>242</v>
      </c>
      <c r="J31" s="2" t="s">
        <v>214</v>
      </c>
      <c r="K31" s="2" t="s">
        <v>203</v>
      </c>
      <c r="L31" s="2">
        <f>$D$10*1</f>
        <v>10</v>
      </c>
      <c r="M31" s="2">
        <f>VLOOKUP(J31,$B$15:$E$32,3,0)</f>
        <v>200</v>
      </c>
      <c r="N31" s="5">
        <f t="shared" si="3"/>
        <v>2000</v>
      </c>
      <c r="O31" s="2"/>
    </row>
    <row r="32" spans="1:15" ht="18" x14ac:dyDescent="0.35">
      <c r="I32" s="2" t="s">
        <v>215</v>
      </c>
      <c r="J32" s="2" t="s">
        <v>216</v>
      </c>
      <c r="K32" s="2" t="s">
        <v>203</v>
      </c>
      <c r="L32" s="2">
        <f>$D$10*2</f>
        <v>20</v>
      </c>
      <c r="M32" s="2">
        <f>VLOOKUP(J32,$B$15:$E$32,3,0)</f>
        <v>150</v>
      </c>
      <c r="N32" s="5">
        <f t="shared" si="3"/>
        <v>3000</v>
      </c>
      <c r="O32" s="2"/>
    </row>
    <row r="33" spans="2:15" ht="18" x14ac:dyDescent="0.35">
      <c r="B33" s="82" t="s">
        <v>243</v>
      </c>
      <c r="C33" s="82"/>
      <c r="D33" s="82"/>
      <c r="I33" s="2" t="s">
        <v>219</v>
      </c>
      <c r="J33" s="2" t="s">
        <v>198</v>
      </c>
      <c r="K33" s="2" t="s">
        <v>203</v>
      </c>
      <c r="L33" s="2">
        <f>$D$10*4</f>
        <v>40</v>
      </c>
      <c r="M33" s="2">
        <f>VLOOKUP(J33,$B$4:$E$8,3,0)</f>
        <v>65</v>
      </c>
      <c r="N33" s="5">
        <f t="shared" si="3"/>
        <v>2600</v>
      </c>
      <c r="O33" s="2" t="s">
        <v>244</v>
      </c>
    </row>
    <row r="34" spans="2:15" ht="18" x14ac:dyDescent="0.35">
      <c r="B34" s="2" t="s">
        <v>245</v>
      </c>
      <c r="C34" s="2" t="s">
        <v>68</v>
      </c>
      <c r="D34" s="2">
        <v>450</v>
      </c>
      <c r="I34" s="2" t="s">
        <v>221</v>
      </c>
      <c r="J34" s="2" t="s">
        <v>222</v>
      </c>
      <c r="K34" s="2" t="s">
        <v>203</v>
      </c>
      <c r="L34" s="2">
        <f>$D$10*1</f>
        <v>10</v>
      </c>
      <c r="M34" s="2">
        <f>VLOOKUP(J34,$B$15:$E$32,3,0)</f>
        <v>15</v>
      </c>
      <c r="N34" s="5">
        <f t="shared" si="3"/>
        <v>150</v>
      </c>
      <c r="O34" s="2"/>
    </row>
    <row r="35" spans="2:15" ht="18" x14ac:dyDescent="0.35">
      <c r="B35" s="2" t="s">
        <v>246</v>
      </c>
      <c r="C35" s="2" t="s">
        <v>247</v>
      </c>
      <c r="D35" s="2">
        <v>80</v>
      </c>
      <c r="I35" s="8" t="s">
        <v>143</v>
      </c>
      <c r="J35" s="2"/>
      <c r="K35" s="2"/>
      <c r="L35" s="2"/>
      <c r="M35" s="2"/>
      <c r="N35" s="9">
        <f>SUM(N30:N34)</f>
        <v>9500</v>
      </c>
      <c r="O35" s="2"/>
    </row>
    <row r="36" spans="2:15" ht="18" x14ac:dyDescent="0.35">
      <c r="B36" s="2" t="s">
        <v>248</v>
      </c>
      <c r="C36" s="2" t="s">
        <v>61</v>
      </c>
      <c r="D36" s="2">
        <v>30</v>
      </c>
      <c r="I36" s="10"/>
      <c r="J36" s="10"/>
      <c r="K36" s="10"/>
      <c r="L36" s="10"/>
      <c r="M36" s="10"/>
      <c r="N36" s="11"/>
      <c r="O36" s="10"/>
    </row>
    <row r="37" spans="2:15" ht="18" x14ac:dyDescent="0.35">
      <c r="B37" s="2" t="s">
        <v>249</v>
      </c>
      <c r="C37" s="2" t="s">
        <v>250</v>
      </c>
      <c r="D37" s="2">
        <v>15</v>
      </c>
      <c r="I37" s="2" t="s">
        <v>251</v>
      </c>
      <c r="J37" s="2" t="s">
        <v>235</v>
      </c>
      <c r="K37" s="2" t="s">
        <v>203</v>
      </c>
      <c r="L37" s="2">
        <f>$D$10*(MAX(G45:H45))*2</f>
        <v>0</v>
      </c>
      <c r="M37" s="2">
        <f>VLOOKUP(J37,$B$15:$E$32,3,0)</f>
        <v>300</v>
      </c>
      <c r="N37" s="5">
        <f t="shared" ref="N37:N40" si="4">L37*M37</f>
        <v>0</v>
      </c>
      <c r="O37" s="2" t="s">
        <v>252</v>
      </c>
    </row>
    <row r="38" spans="2:15" ht="18" x14ac:dyDescent="0.35">
      <c r="B38" s="2" t="s">
        <v>253</v>
      </c>
      <c r="C38" s="2" t="s">
        <v>254</v>
      </c>
      <c r="D38" s="47">
        <f>D36/(D37*1.8)*60</f>
        <v>66.666666666666671</v>
      </c>
      <c r="I38" s="2" t="s">
        <v>237</v>
      </c>
      <c r="J38" s="2" t="s">
        <v>237</v>
      </c>
      <c r="K38" s="2" t="s">
        <v>231</v>
      </c>
      <c r="L38" s="2">
        <f t="shared" ref="L38" si="5">$D$10*1</f>
        <v>10</v>
      </c>
      <c r="M38" s="2">
        <f>VLOOKUP(J38,$B$15:$E$32,3,0)/$D$10</f>
        <v>42</v>
      </c>
      <c r="N38" s="5">
        <f t="shared" si="4"/>
        <v>420</v>
      </c>
      <c r="O38" s="2"/>
    </row>
    <row r="39" spans="2:15" ht="18" x14ac:dyDescent="0.35">
      <c r="B39" s="2" t="s">
        <v>255</v>
      </c>
      <c r="C39" s="2" t="s">
        <v>254</v>
      </c>
      <c r="D39" s="2">
        <f>D34*2/D35*60</f>
        <v>675</v>
      </c>
      <c r="I39" s="2" t="s">
        <v>256</v>
      </c>
      <c r="J39" s="2" t="s">
        <v>205</v>
      </c>
      <c r="K39" s="2" t="s">
        <v>203</v>
      </c>
      <c r="L39" s="2">
        <f>$D$10*4</f>
        <v>40</v>
      </c>
      <c r="M39" s="2">
        <f t="shared" ref="M39:M40" si="6">VLOOKUP(J39,$B$4:$E$8,3,0)</f>
        <v>75</v>
      </c>
      <c r="N39" s="5">
        <f t="shared" si="4"/>
        <v>3000</v>
      </c>
      <c r="O39" s="2" t="s">
        <v>257</v>
      </c>
    </row>
    <row r="40" spans="2:15" ht="18" x14ac:dyDescent="0.35">
      <c r="B40" s="2" t="s">
        <v>258</v>
      </c>
      <c r="C40" s="2" t="s">
        <v>254</v>
      </c>
      <c r="D40" s="2">
        <v>10</v>
      </c>
      <c r="I40" s="2" t="s">
        <v>219</v>
      </c>
      <c r="J40" s="2" t="s">
        <v>198</v>
      </c>
      <c r="K40" s="2" t="s">
        <v>203</v>
      </c>
      <c r="L40" s="2">
        <f>$D$10*4</f>
        <v>40</v>
      </c>
      <c r="M40" s="2">
        <f t="shared" si="6"/>
        <v>65</v>
      </c>
      <c r="N40" s="5">
        <f t="shared" si="4"/>
        <v>2600</v>
      </c>
      <c r="O40" s="2" t="s">
        <v>226</v>
      </c>
    </row>
    <row r="41" spans="2:15" ht="18" x14ac:dyDescent="0.35">
      <c r="B41" s="2" t="s">
        <v>259</v>
      </c>
      <c r="C41" s="2" t="s">
        <v>254</v>
      </c>
      <c r="D41" s="2">
        <v>1.2</v>
      </c>
      <c r="I41" s="8" t="s">
        <v>103</v>
      </c>
      <c r="J41" s="2"/>
      <c r="K41" s="2"/>
      <c r="L41" s="2"/>
      <c r="M41" s="2"/>
      <c r="N41" s="9">
        <f>SUM(N38:N40)</f>
        <v>6020</v>
      </c>
      <c r="O41" s="2"/>
    </row>
    <row r="42" spans="2:15" ht="18" x14ac:dyDescent="0.35">
      <c r="B42" s="2" t="s">
        <v>260</v>
      </c>
      <c r="C42" s="2" t="s">
        <v>254</v>
      </c>
      <c r="D42" s="47">
        <f>SUM(D38:D41)</f>
        <v>752.86666666666667</v>
      </c>
      <c r="I42" s="10"/>
      <c r="J42" s="10"/>
      <c r="K42" s="10"/>
      <c r="L42" s="10"/>
      <c r="M42" s="10"/>
      <c r="N42" s="11"/>
      <c r="O42" s="10"/>
    </row>
    <row r="43" spans="2:15" ht="18" x14ac:dyDescent="0.35">
      <c r="B43" s="2" t="s">
        <v>261</v>
      </c>
      <c r="C43" s="2" t="s">
        <v>16</v>
      </c>
      <c r="D43" s="2">
        <f>ROUNDUP(D42/D38,0)</f>
        <v>12</v>
      </c>
      <c r="I43" s="2" t="s">
        <v>262</v>
      </c>
      <c r="J43" s="2" t="s">
        <v>106</v>
      </c>
      <c r="K43" s="2" t="s">
        <v>203</v>
      </c>
      <c r="L43" s="2">
        <f>$D$10*D43</f>
        <v>120</v>
      </c>
      <c r="M43" s="2">
        <f>VLOOKUP(J43,$B$15:$E$32,3,0)</f>
        <v>175</v>
      </c>
      <c r="N43" s="5">
        <f t="shared" ref="N43:N45" si="7">L43*M43</f>
        <v>21000</v>
      </c>
      <c r="O43" s="2"/>
    </row>
    <row r="44" spans="2:15" ht="18" x14ac:dyDescent="0.35">
      <c r="I44" s="2" t="s">
        <v>224</v>
      </c>
      <c r="J44" s="2" t="s">
        <v>211</v>
      </c>
      <c r="K44" s="2" t="s">
        <v>203</v>
      </c>
      <c r="L44" s="2">
        <f t="shared" ref="L44:L45" si="8">$D$10*1</f>
        <v>10</v>
      </c>
      <c r="M44" s="2">
        <f>VLOOKUP(J44,$B$15:$E$32,3,0)</f>
        <v>175</v>
      </c>
      <c r="N44" s="5">
        <f t="shared" si="7"/>
        <v>1750</v>
      </c>
      <c r="O44" s="2" t="s">
        <v>263</v>
      </c>
    </row>
    <row r="45" spans="2:15" ht="18" x14ac:dyDescent="0.35">
      <c r="I45" s="2" t="s">
        <v>219</v>
      </c>
      <c r="J45" s="2" t="s">
        <v>198</v>
      </c>
      <c r="K45" s="2" t="s">
        <v>203</v>
      </c>
      <c r="L45" s="2">
        <f t="shared" si="8"/>
        <v>10</v>
      </c>
      <c r="M45" s="2">
        <f t="shared" ref="M45" si="9">VLOOKUP(J45,$B$4:$E$8,3,0)</f>
        <v>65</v>
      </c>
      <c r="N45" s="5">
        <f t="shared" si="7"/>
        <v>650</v>
      </c>
      <c r="O45" s="2"/>
    </row>
    <row r="46" spans="2:15" ht="18" x14ac:dyDescent="0.35">
      <c r="B46" s="82" t="s">
        <v>264</v>
      </c>
      <c r="C46" s="82"/>
      <c r="D46" s="82"/>
      <c r="I46" s="8" t="s">
        <v>116</v>
      </c>
      <c r="J46" s="2"/>
      <c r="K46" s="2"/>
      <c r="L46" s="2"/>
      <c r="M46" s="2"/>
      <c r="N46" s="9">
        <f>SUM(N43:N45)</f>
        <v>23400</v>
      </c>
      <c r="O46" s="2"/>
    </row>
    <row r="47" spans="2:15" ht="18" x14ac:dyDescent="0.35">
      <c r="B47" s="2" t="s">
        <v>245</v>
      </c>
      <c r="C47" s="2" t="s">
        <v>68</v>
      </c>
      <c r="D47" s="38">
        <v>450</v>
      </c>
      <c r="I47" s="10"/>
      <c r="J47" s="10"/>
      <c r="K47" s="10"/>
      <c r="L47" s="10"/>
      <c r="M47" s="10"/>
      <c r="N47" s="11"/>
      <c r="O47" s="10"/>
    </row>
    <row r="48" spans="2:15" ht="18" x14ac:dyDescent="0.35">
      <c r="B48" s="2" t="s">
        <v>246</v>
      </c>
      <c r="C48" s="2" t="s">
        <v>247</v>
      </c>
      <c r="D48" s="2">
        <v>80</v>
      </c>
      <c r="I48" s="2" t="s">
        <v>262</v>
      </c>
      <c r="J48" s="2" t="s">
        <v>106</v>
      </c>
      <c r="K48" s="2" t="s">
        <v>203</v>
      </c>
      <c r="L48" s="2">
        <f>$D$10*$D$56</f>
        <v>150</v>
      </c>
      <c r="M48" s="2">
        <f>VLOOKUP(J48,$B$15:$E$32,3,0)</f>
        <v>175</v>
      </c>
      <c r="N48" s="5">
        <f t="shared" ref="N48:N50" si="10">L48*M48</f>
        <v>26250</v>
      </c>
      <c r="O48" s="2"/>
    </row>
    <row r="49" spans="2:15" ht="18" x14ac:dyDescent="0.35">
      <c r="B49" s="2" t="s">
        <v>248</v>
      </c>
      <c r="C49" s="2" t="s">
        <v>61</v>
      </c>
      <c r="D49" s="2">
        <v>30</v>
      </c>
      <c r="I49" s="2" t="s">
        <v>224</v>
      </c>
      <c r="J49" s="2" t="s">
        <v>211</v>
      </c>
      <c r="K49" s="2" t="s">
        <v>203</v>
      </c>
      <c r="L49" s="2">
        <f t="shared" ref="L49:L50" si="11">$D$10*1</f>
        <v>10</v>
      </c>
      <c r="M49" s="2">
        <f>VLOOKUP(J49,$B$15:$E$32,3,0)</f>
        <v>175</v>
      </c>
      <c r="N49" s="5">
        <f t="shared" si="10"/>
        <v>1750</v>
      </c>
      <c r="O49" s="2" t="s">
        <v>265</v>
      </c>
    </row>
    <row r="50" spans="2:15" ht="18" x14ac:dyDescent="0.35">
      <c r="B50" s="2" t="s">
        <v>266</v>
      </c>
      <c r="C50" s="2" t="s">
        <v>250</v>
      </c>
      <c r="D50" s="2">
        <v>20</v>
      </c>
      <c r="I50" s="2" t="s">
        <v>219</v>
      </c>
      <c r="J50" s="2" t="s">
        <v>198</v>
      </c>
      <c r="K50" s="2" t="s">
        <v>203</v>
      </c>
      <c r="L50" s="2">
        <f t="shared" si="11"/>
        <v>10</v>
      </c>
      <c r="M50" s="2">
        <f t="shared" ref="M50" si="12">VLOOKUP(J50,$B$4:$E$8,3,0)</f>
        <v>65</v>
      </c>
      <c r="N50" s="5">
        <f t="shared" si="10"/>
        <v>650</v>
      </c>
      <c r="O50" s="2"/>
    </row>
    <row r="51" spans="2:15" ht="18" x14ac:dyDescent="0.35">
      <c r="B51" s="2" t="s">
        <v>253</v>
      </c>
      <c r="C51" s="2" t="s">
        <v>254</v>
      </c>
      <c r="D51" s="2">
        <f>D49/(D50*1.8)*60</f>
        <v>50</v>
      </c>
      <c r="I51" s="8" t="s">
        <v>140</v>
      </c>
      <c r="J51" s="2"/>
      <c r="K51" s="2"/>
      <c r="L51" s="2"/>
      <c r="M51" s="2"/>
      <c r="N51" s="9">
        <f>SUM(N48:N50)</f>
        <v>28650</v>
      </c>
      <c r="O51" s="2"/>
    </row>
    <row r="52" spans="2:15" ht="18" x14ac:dyDescent="0.35">
      <c r="B52" s="2" t="s">
        <v>255</v>
      </c>
      <c r="C52" s="2" t="s">
        <v>254</v>
      </c>
      <c r="D52" s="2">
        <f>D47*2/D48*60</f>
        <v>675</v>
      </c>
      <c r="I52" s="10"/>
      <c r="J52" s="10"/>
      <c r="K52" s="10"/>
      <c r="L52" s="10"/>
      <c r="M52" s="10"/>
      <c r="N52" s="11"/>
      <c r="O52" s="10"/>
    </row>
    <row r="53" spans="2:15" ht="18" x14ac:dyDescent="0.35">
      <c r="B53" s="2" t="s">
        <v>258</v>
      </c>
      <c r="C53" s="2" t="s">
        <v>254</v>
      </c>
      <c r="D53" s="2">
        <v>10</v>
      </c>
      <c r="I53" s="2" t="s">
        <v>224</v>
      </c>
      <c r="J53" s="2" t="s">
        <v>225</v>
      </c>
      <c r="K53" s="2" t="s">
        <v>203</v>
      </c>
      <c r="L53" s="2">
        <f t="shared" ref="L53:L56" si="13">$D$10*1</f>
        <v>10</v>
      </c>
      <c r="M53" s="2">
        <f>VLOOKUP(J53,$B$15:$E$32,3,0)</f>
        <v>160</v>
      </c>
      <c r="N53" s="5">
        <f t="shared" ref="N53:N56" si="14">L53*M53</f>
        <v>1600</v>
      </c>
      <c r="O53" s="2"/>
    </row>
    <row r="54" spans="2:15" ht="18" x14ac:dyDescent="0.35">
      <c r="B54" s="2" t="s">
        <v>259</v>
      </c>
      <c r="C54" s="2" t="s">
        <v>254</v>
      </c>
      <c r="D54" s="2">
        <v>1.2</v>
      </c>
      <c r="I54" s="2" t="s">
        <v>215</v>
      </c>
      <c r="J54" s="2" t="s">
        <v>216</v>
      </c>
      <c r="K54" s="2" t="s">
        <v>203</v>
      </c>
      <c r="L54" s="2">
        <f>$D$10*2</f>
        <v>20</v>
      </c>
      <c r="M54" s="2">
        <f>VLOOKUP(J54,$B$15:$E$32,3,0)</f>
        <v>150</v>
      </c>
      <c r="N54" s="5">
        <f t="shared" si="14"/>
        <v>3000</v>
      </c>
      <c r="O54" s="2"/>
    </row>
    <row r="55" spans="2:15" ht="18" x14ac:dyDescent="0.35">
      <c r="B55" s="2" t="s">
        <v>260</v>
      </c>
      <c r="C55" s="2" t="s">
        <v>254</v>
      </c>
      <c r="D55" s="2">
        <f>SUM(D51:D54)</f>
        <v>736.2</v>
      </c>
      <c r="I55" s="2" t="s">
        <v>267</v>
      </c>
      <c r="J55" s="2" t="s">
        <v>233</v>
      </c>
      <c r="K55" s="2" t="s">
        <v>203</v>
      </c>
      <c r="L55" s="2">
        <f t="shared" si="13"/>
        <v>10</v>
      </c>
      <c r="M55" s="2">
        <f>VLOOKUP(J55,$B$15:$E$32,3,0)</f>
        <v>130</v>
      </c>
      <c r="N55" s="5">
        <f t="shared" si="14"/>
        <v>1300</v>
      </c>
      <c r="O55" s="2"/>
    </row>
    <row r="56" spans="2:15" ht="18" x14ac:dyDescent="0.35">
      <c r="B56" s="2" t="s">
        <v>261</v>
      </c>
      <c r="C56" s="2" t="s">
        <v>16</v>
      </c>
      <c r="D56" s="2">
        <f>ROUNDUP(D55/D51,0)</f>
        <v>15</v>
      </c>
      <c r="I56" s="2" t="s">
        <v>219</v>
      </c>
      <c r="J56" s="2" t="s">
        <v>198</v>
      </c>
      <c r="K56" s="2" t="s">
        <v>203</v>
      </c>
      <c r="L56" s="2">
        <f t="shared" si="13"/>
        <v>10</v>
      </c>
      <c r="M56" s="2">
        <f t="shared" ref="M56" si="15">VLOOKUP(J56,$B$4:$E$8,3,0)</f>
        <v>65</v>
      </c>
      <c r="N56" s="5">
        <f t="shared" si="14"/>
        <v>650</v>
      </c>
      <c r="O56" s="2"/>
    </row>
    <row r="57" spans="2:15" ht="18" x14ac:dyDescent="0.35">
      <c r="I57" s="8" t="s">
        <v>150</v>
      </c>
      <c r="J57" s="2"/>
      <c r="K57" s="2"/>
      <c r="L57" s="2"/>
      <c r="M57" s="2"/>
      <c r="N57" s="9">
        <f>SUM(N53:N56)</f>
        <v>6550</v>
      </c>
      <c r="O57" s="2"/>
    </row>
    <row r="58" spans="2:15" ht="18" x14ac:dyDescent="0.35">
      <c r="I58" s="10"/>
      <c r="J58" s="10"/>
      <c r="K58" s="10"/>
      <c r="L58" s="10"/>
      <c r="M58" s="10"/>
      <c r="N58" s="11"/>
      <c r="O58" s="10"/>
    </row>
    <row r="59" spans="2:15" ht="18" x14ac:dyDescent="0.35">
      <c r="B59" s="82" t="s">
        <v>268</v>
      </c>
      <c r="C59" s="82"/>
      <c r="D59" s="82"/>
      <c r="I59" s="2" t="s">
        <v>206</v>
      </c>
      <c r="J59" s="2" t="s">
        <v>205</v>
      </c>
      <c r="K59" s="2" t="s">
        <v>203</v>
      </c>
      <c r="L59" s="2">
        <f>$D$10*2</f>
        <v>20</v>
      </c>
      <c r="M59" s="2">
        <f>VLOOKUP(J59,$B$4:$E$8,3,0)</f>
        <v>75</v>
      </c>
      <c r="N59" s="5">
        <f>L59*M59</f>
        <v>1500</v>
      </c>
      <c r="O59" s="2" t="s">
        <v>226</v>
      </c>
    </row>
    <row r="60" spans="2:15" ht="18" x14ac:dyDescent="0.35">
      <c r="B60" s="2" t="s">
        <v>245</v>
      </c>
      <c r="C60" s="2" t="s">
        <v>68</v>
      </c>
      <c r="D60" s="38">
        <f>CALCULATOR!E33</f>
        <v>450</v>
      </c>
      <c r="I60" s="2" t="s">
        <v>219</v>
      </c>
      <c r="J60" s="2" t="s">
        <v>198</v>
      </c>
      <c r="K60" s="2" t="s">
        <v>203</v>
      </c>
      <c r="L60" s="2">
        <f>$D$10*2</f>
        <v>20</v>
      </c>
      <c r="M60" s="2">
        <f>VLOOKUP(J60,$B$4:$E$8,3,0)</f>
        <v>65</v>
      </c>
      <c r="N60" s="5">
        <f>L60*M60</f>
        <v>1300</v>
      </c>
      <c r="O60" s="2" t="s">
        <v>226</v>
      </c>
    </row>
    <row r="61" spans="2:15" ht="18" x14ac:dyDescent="0.35">
      <c r="B61" s="2" t="s">
        <v>246</v>
      </c>
      <c r="C61" s="2" t="s">
        <v>247</v>
      </c>
      <c r="D61" s="2">
        <v>80</v>
      </c>
      <c r="I61" s="2" t="s">
        <v>221</v>
      </c>
      <c r="J61" s="2" t="s">
        <v>222</v>
      </c>
      <c r="K61" s="2" t="s">
        <v>203</v>
      </c>
      <c r="L61" s="2">
        <f>$D$10*3</f>
        <v>30</v>
      </c>
      <c r="M61" s="2">
        <f>VLOOKUP(J61,$B$15:$E$32,3,0)</f>
        <v>15</v>
      </c>
      <c r="N61" s="5">
        <f>L61*M61</f>
        <v>450</v>
      </c>
      <c r="O61" s="2"/>
    </row>
    <row r="62" spans="2:15" ht="18" x14ac:dyDescent="0.35">
      <c r="B62" s="2" t="s">
        <v>248</v>
      </c>
      <c r="C62" s="2" t="s">
        <v>61</v>
      </c>
      <c r="D62" s="2">
        <v>30</v>
      </c>
      <c r="I62" s="29" t="s">
        <v>94</v>
      </c>
      <c r="J62" s="2"/>
      <c r="K62" s="2"/>
      <c r="L62" s="2"/>
      <c r="M62" s="2"/>
      <c r="N62" s="9">
        <f>SUM(N59:N61)</f>
        <v>3250</v>
      </c>
      <c r="O62" s="2"/>
    </row>
    <row r="63" spans="2:15" ht="18" x14ac:dyDescent="0.35">
      <c r="B63" s="2" t="s">
        <v>269</v>
      </c>
      <c r="C63" s="2" t="s">
        <v>270</v>
      </c>
      <c r="D63" s="2">
        <f>40*0.125</f>
        <v>5</v>
      </c>
      <c r="I63" s="10"/>
      <c r="J63" s="10"/>
      <c r="K63" s="10"/>
      <c r="L63" s="10"/>
      <c r="M63" s="10"/>
      <c r="N63" s="11"/>
      <c r="O63" s="10"/>
    </row>
    <row r="64" spans="2:15" ht="18" x14ac:dyDescent="0.35">
      <c r="B64" s="2" t="s">
        <v>253</v>
      </c>
      <c r="C64" s="2" t="s">
        <v>254</v>
      </c>
      <c r="D64" s="2">
        <f>D62/D63*60</f>
        <v>360</v>
      </c>
      <c r="I64" s="2" t="s">
        <v>224</v>
      </c>
      <c r="J64" s="2" t="s">
        <v>225</v>
      </c>
      <c r="K64" s="2" t="s">
        <v>203</v>
      </c>
      <c r="L64" s="2">
        <f>$D$10*1</f>
        <v>10</v>
      </c>
      <c r="M64" s="2">
        <f>VLOOKUP(J64,$B$15:$E$32,3,0)</f>
        <v>160</v>
      </c>
      <c r="N64" s="5">
        <f t="shared" ref="N64:N69" si="16">L64*M64</f>
        <v>1600</v>
      </c>
      <c r="O64" s="2"/>
    </row>
    <row r="65" spans="2:15" ht="18" x14ac:dyDescent="0.35">
      <c r="B65" s="2" t="s">
        <v>255</v>
      </c>
      <c r="C65" s="2" t="s">
        <v>254</v>
      </c>
      <c r="D65" s="2">
        <f>D60*2/D61*60</f>
        <v>675</v>
      </c>
      <c r="I65" s="2" t="s">
        <v>271</v>
      </c>
      <c r="J65" s="2" t="s">
        <v>240</v>
      </c>
      <c r="K65" s="2" t="s">
        <v>203</v>
      </c>
      <c r="L65" s="2">
        <f>$D$10*1</f>
        <v>10</v>
      </c>
      <c r="M65" s="2">
        <f>VLOOKUP(J65,$B$15:$E$32,3,0)/$D$10</f>
        <v>15</v>
      </c>
      <c r="N65" s="5">
        <f t="shared" si="16"/>
        <v>150</v>
      </c>
      <c r="O65" s="2"/>
    </row>
    <row r="66" spans="2:15" ht="18" x14ac:dyDescent="0.35">
      <c r="B66" s="2" t="s">
        <v>258</v>
      </c>
      <c r="C66" s="2" t="s">
        <v>254</v>
      </c>
      <c r="D66" s="2">
        <v>10</v>
      </c>
      <c r="I66" s="2" t="s">
        <v>215</v>
      </c>
      <c r="J66" s="2" t="s">
        <v>216</v>
      </c>
      <c r="K66" s="2" t="s">
        <v>203</v>
      </c>
      <c r="L66" s="2">
        <f>$D$10*2</f>
        <v>20</v>
      </c>
      <c r="M66" s="2">
        <f>VLOOKUP(J66,$B$15:$E$32,3,0)</f>
        <v>150</v>
      </c>
      <c r="N66" s="5">
        <f t="shared" si="16"/>
        <v>3000</v>
      </c>
      <c r="O66" s="2"/>
    </row>
    <row r="67" spans="2:15" ht="18" x14ac:dyDescent="0.35">
      <c r="B67" s="2" t="s">
        <v>259</v>
      </c>
      <c r="C67" s="2" t="s">
        <v>254</v>
      </c>
      <c r="D67" s="2">
        <v>1.2</v>
      </c>
      <c r="I67" s="2" t="s">
        <v>219</v>
      </c>
      <c r="J67" s="2" t="s">
        <v>198</v>
      </c>
      <c r="K67" s="2" t="s">
        <v>203</v>
      </c>
      <c r="L67" s="2">
        <f>$D$10*2</f>
        <v>20</v>
      </c>
      <c r="M67" s="2">
        <f>VLOOKUP(J67,$B$4:$E$8,3,0)</f>
        <v>65</v>
      </c>
      <c r="N67" s="5">
        <f t="shared" si="16"/>
        <v>1300</v>
      </c>
      <c r="O67" s="2"/>
    </row>
    <row r="68" spans="2:15" ht="18" x14ac:dyDescent="0.35">
      <c r="B68" s="2" t="s">
        <v>260</v>
      </c>
      <c r="C68" s="2" t="s">
        <v>254</v>
      </c>
      <c r="D68" s="2">
        <f>SUM(D64:D67)</f>
        <v>1046.2</v>
      </c>
      <c r="I68" s="2" t="s">
        <v>228</v>
      </c>
      <c r="J68" s="2" t="s">
        <v>229</v>
      </c>
      <c r="K68" s="2" t="s">
        <v>203</v>
      </c>
      <c r="L68" s="2">
        <f>$D$10*1</f>
        <v>10</v>
      </c>
      <c r="M68" s="2">
        <f>VLOOKUP(J68,$B$15:$E$32,3,0)</f>
        <v>120</v>
      </c>
      <c r="N68" s="5">
        <f t="shared" si="16"/>
        <v>1200</v>
      </c>
      <c r="O68" s="2"/>
    </row>
    <row r="69" spans="2:15" ht="18" x14ac:dyDescent="0.35">
      <c r="B69" s="2" t="s">
        <v>261</v>
      </c>
      <c r="C69" s="2" t="s">
        <v>16</v>
      </c>
      <c r="D69" s="2">
        <f>ROUNDUP(D68/D64,0)</f>
        <v>3</v>
      </c>
      <c r="I69" s="2" t="s">
        <v>232</v>
      </c>
      <c r="J69" s="2" t="s">
        <v>233</v>
      </c>
      <c r="K69" s="2" t="s">
        <v>203</v>
      </c>
      <c r="L69" s="2">
        <f>$D$10*1</f>
        <v>10</v>
      </c>
      <c r="M69" s="2">
        <f>VLOOKUP(J69,$B$15:$E$32,3,0)</f>
        <v>130</v>
      </c>
      <c r="N69" s="5">
        <f t="shared" si="16"/>
        <v>1300</v>
      </c>
      <c r="O69" s="2"/>
    </row>
    <row r="70" spans="2:15" ht="18" x14ac:dyDescent="0.35">
      <c r="I70" s="29" t="s">
        <v>272</v>
      </c>
      <c r="J70" s="2"/>
      <c r="K70" s="2"/>
      <c r="L70" s="2"/>
      <c r="M70" s="2"/>
      <c r="N70" s="9">
        <f>SUM(N64:N69)</f>
        <v>8550</v>
      </c>
      <c r="O70" s="2"/>
    </row>
    <row r="71" spans="2:15" ht="18" x14ac:dyDescent="0.35">
      <c r="I71" s="10"/>
      <c r="J71" s="10"/>
      <c r="K71" s="10"/>
      <c r="L71" s="10"/>
      <c r="M71" s="10"/>
      <c r="N71" s="11"/>
      <c r="O71" s="10"/>
    </row>
    <row r="72" spans="2:15" ht="18" x14ac:dyDescent="0.35">
      <c r="B72" s="1" t="s">
        <v>273</v>
      </c>
      <c r="I72" s="2" t="s">
        <v>274</v>
      </c>
      <c r="J72" s="2" t="s">
        <v>239</v>
      </c>
      <c r="K72" s="2" t="s">
        <v>203</v>
      </c>
      <c r="L72" s="2">
        <f t="shared" ref="L72" si="17">$D$10*1</f>
        <v>10</v>
      </c>
      <c r="M72" s="2">
        <f>VLOOKUP(J72,$B$15:$E$32,3,0)</f>
        <v>750</v>
      </c>
      <c r="N72" s="5">
        <f t="shared" ref="N72:N75" si="18">L72*M72</f>
        <v>7500</v>
      </c>
      <c r="O72" s="2"/>
    </row>
    <row r="73" spans="2:15" ht="18" x14ac:dyDescent="0.35">
      <c r="B73" s="1" t="s">
        <v>25</v>
      </c>
      <c r="I73" s="2" t="s">
        <v>237</v>
      </c>
      <c r="J73" s="2" t="s">
        <v>237</v>
      </c>
      <c r="K73" s="2" t="s">
        <v>231</v>
      </c>
      <c r="L73" s="2">
        <f t="shared" ref="L73" si="19">$D$10*1</f>
        <v>10</v>
      </c>
      <c r="M73" s="2">
        <f>VLOOKUP(J73,$B$15:$E$32,3,0)/$D$10</f>
        <v>42</v>
      </c>
      <c r="N73" s="5">
        <f t="shared" si="18"/>
        <v>420</v>
      </c>
      <c r="O73" s="2" t="s">
        <v>244</v>
      </c>
    </row>
    <row r="74" spans="2:15" ht="18" x14ac:dyDescent="0.35">
      <c r="I74" s="2" t="s">
        <v>256</v>
      </c>
      <c r="J74" s="2" t="s">
        <v>205</v>
      </c>
      <c r="K74" s="2" t="s">
        <v>203</v>
      </c>
      <c r="L74" s="2">
        <f>$D$10*4</f>
        <v>40</v>
      </c>
      <c r="M74" s="2">
        <f t="shared" ref="M74:M75" si="20">VLOOKUP(J74,$B$4:$E$8,3,0)</f>
        <v>75</v>
      </c>
      <c r="N74" s="5">
        <f t="shared" si="18"/>
        <v>3000</v>
      </c>
      <c r="O74" s="2" t="s">
        <v>226</v>
      </c>
    </row>
    <row r="75" spans="2:15" ht="18" x14ac:dyDescent="0.35">
      <c r="I75" s="2" t="s">
        <v>219</v>
      </c>
      <c r="J75" s="2" t="s">
        <v>198</v>
      </c>
      <c r="K75" s="2" t="s">
        <v>203</v>
      </c>
      <c r="L75" s="2">
        <f>$D$10*2</f>
        <v>20</v>
      </c>
      <c r="M75" s="2">
        <f t="shared" si="20"/>
        <v>65</v>
      </c>
      <c r="N75" s="5">
        <f t="shared" si="18"/>
        <v>1300</v>
      </c>
      <c r="O75" s="2"/>
    </row>
    <row r="76" spans="2:15" ht="20.25" x14ac:dyDescent="0.35">
      <c r="B76" s="70" t="s">
        <v>275</v>
      </c>
      <c r="C76" s="70"/>
      <c r="I76" s="29" t="s">
        <v>97</v>
      </c>
      <c r="J76" s="2"/>
      <c r="K76" s="2"/>
      <c r="L76" s="2"/>
      <c r="M76" s="2"/>
      <c r="N76" s="9">
        <f>SUM(N72:N75)</f>
        <v>12220</v>
      </c>
      <c r="O76" s="2"/>
    </row>
    <row r="77" spans="2:15" ht="18" x14ac:dyDescent="0.35">
      <c r="B77" s="31" t="str">
        <f>CALCULATOR!D9</f>
        <v>Concrete Footing</v>
      </c>
      <c r="C77" s="31">
        <f>IF(B77="Drive Steel Pile",1,0)</f>
        <v>0</v>
      </c>
      <c r="I77" s="10"/>
      <c r="J77" s="10"/>
      <c r="K77" s="10"/>
      <c r="L77" s="10"/>
      <c r="M77" s="10"/>
      <c r="N77" s="11"/>
      <c r="O77" s="10"/>
    </row>
    <row r="78" spans="2:15" ht="18" x14ac:dyDescent="0.35">
      <c r="I78" s="2" t="s">
        <v>274</v>
      </c>
      <c r="J78" s="2" t="s">
        <v>235</v>
      </c>
      <c r="K78" s="2" t="s">
        <v>203</v>
      </c>
      <c r="L78" s="2">
        <f t="shared" ref="L78" si="21">$D$10*1</f>
        <v>10</v>
      </c>
      <c r="M78" s="2">
        <f>VLOOKUP(J78,$B$15:$E$32,3,0)</f>
        <v>300</v>
      </c>
      <c r="N78" s="5">
        <f t="shared" ref="N78:N80" si="22">L78*M78</f>
        <v>3000</v>
      </c>
      <c r="O78" s="2"/>
    </row>
    <row r="79" spans="2:15" ht="18" x14ac:dyDescent="0.35">
      <c r="B79" s="1" t="s">
        <v>64</v>
      </c>
      <c r="C79" s="1" t="s">
        <v>10</v>
      </c>
      <c r="I79" s="2" t="s">
        <v>256</v>
      </c>
      <c r="J79" s="2" t="s">
        <v>205</v>
      </c>
      <c r="K79" s="2" t="s">
        <v>203</v>
      </c>
      <c r="L79" s="2">
        <f>$D$10*1</f>
        <v>10</v>
      </c>
      <c r="M79" s="2">
        <f t="shared" ref="M79:M80" si="23">VLOOKUP(J79,$B$4:$E$8,3,0)</f>
        <v>75</v>
      </c>
      <c r="N79" s="5">
        <f t="shared" si="22"/>
        <v>750</v>
      </c>
      <c r="O79" s="2" t="s">
        <v>226</v>
      </c>
    </row>
    <row r="80" spans="2:15" ht="18" x14ac:dyDescent="0.35">
      <c r="C80" s="1" t="s">
        <v>276</v>
      </c>
      <c r="I80" s="2" t="s">
        <v>219</v>
      </c>
      <c r="J80" s="2" t="s">
        <v>198</v>
      </c>
      <c r="K80" s="2" t="s">
        <v>203</v>
      </c>
      <c r="L80" s="2">
        <f>$D$10*2</f>
        <v>20</v>
      </c>
      <c r="M80" s="2">
        <f t="shared" si="23"/>
        <v>65</v>
      </c>
      <c r="N80" s="5">
        <f t="shared" si="22"/>
        <v>1300</v>
      </c>
      <c r="O80" s="2"/>
    </row>
    <row r="81" spans="9:15" ht="18" x14ac:dyDescent="0.35">
      <c r="I81" s="29" t="s">
        <v>100</v>
      </c>
      <c r="J81" s="2"/>
      <c r="K81" s="2"/>
      <c r="L81" s="2"/>
      <c r="M81" s="2"/>
      <c r="N81" s="9">
        <f>SUM(N78:N80)</f>
        <v>5050</v>
      </c>
      <c r="O81" s="2"/>
    </row>
    <row r="82" spans="9:15" ht="18" x14ac:dyDescent="0.35">
      <c r="I82" s="10"/>
      <c r="J82" s="10"/>
      <c r="K82" s="10"/>
      <c r="L82" s="10"/>
      <c r="M82" s="10"/>
      <c r="N82" s="11"/>
      <c r="O82" s="10"/>
    </row>
    <row r="83" spans="9:15" ht="18" x14ac:dyDescent="0.35">
      <c r="I83" s="2" t="s">
        <v>227</v>
      </c>
      <c r="J83" s="2" t="s">
        <v>227</v>
      </c>
      <c r="K83" s="2" t="s">
        <v>203</v>
      </c>
      <c r="L83" s="2">
        <f t="shared" ref="L83" si="24">$D$10*1</f>
        <v>10</v>
      </c>
      <c r="M83" s="2">
        <f>VLOOKUP(J83,$B$15:$E$32,3,0)</f>
        <v>135</v>
      </c>
      <c r="N83" s="5">
        <f t="shared" ref="N83:N85" si="25">L83*M83</f>
        <v>1350</v>
      </c>
      <c r="O83" s="2"/>
    </row>
    <row r="84" spans="9:15" ht="18" x14ac:dyDescent="0.35">
      <c r="I84" s="2" t="s">
        <v>230</v>
      </c>
      <c r="J84" s="2" t="s">
        <v>230</v>
      </c>
      <c r="K84" s="2" t="s">
        <v>203</v>
      </c>
      <c r="L84" s="2">
        <f>$D$10*1</f>
        <v>10</v>
      </c>
      <c r="M84" s="2">
        <f>VLOOKUP(J84,$B$15:$E$32,3,0)/10</f>
        <v>12</v>
      </c>
      <c r="N84" s="5">
        <f t="shared" si="25"/>
        <v>120</v>
      </c>
      <c r="O84" s="2" t="s">
        <v>226</v>
      </c>
    </row>
    <row r="85" spans="9:15" ht="18" x14ac:dyDescent="0.35">
      <c r="I85" s="2" t="s">
        <v>219</v>
      </c>
      <c r="J85" s="2" t="s">
        <v>198</v>
      </c>
      <c r="K85" s="2" t="s">
        <v>203</v>
      </c>
      <c r="L85" s="2">
        <f>$D$10*2</f>
        <v>20</v>
      </c>
      <c r="M85" s="2">
        <f t="shared" ref="M85" si="26">VLOOKUP(J85,$B$4:$E$8,3,0)</f>
        <v>65</v>
      </c>
      <c r="N85" s="5">
        <f t="shared" si="25"/>
        <v>1300</v>
      </c>
      <c r="O85" s="2"/>
    </row>
    <row r="86" spans="9:15" ht="18" x14ac:dyDescent="0.35">
      <c r="I86" s="29" t="s">
        <v>121</v>
      </c>
      <c r="J86" s="2"/>
      <c r="K86" s="2"/>
      <c r="L86" s="2"/>
      <c r="M86" s="2"/>
      <c r="N86" s="9">
        <f>SUM(N83:N85)</f>
        <v>2770</v>
      </c>
      <c r="O86" s="2"/>
    </row>
    <row r="87" spans="9:15" ht="18" x14ac:dyDescent="0.35">
      <c r="I87" s="10"/>
      <c r="J87" s="10"/>
      <c r="K87" s="10"/>
      <c r="L87" s="10"/>
      <c r="M87" s="10"/>
      <c r="N87" s="11"/>
      <c r="O87" s="10"/>
    </row>
    <row r="88" spans="9:15" ht="18" x14ac:dyDescent="0.35">
      <c r="I88" s="2" t="s">
        <v>227</v>
      </c>
      <c r="J88" s="2" t="s">
        <v>227</v>
      </c>
      <c r="K88" s="2" t="s">
        <v>203</v>
      </c>
      <c r="L88" s="2">
        <f t="shared" ref="L88" si="27">$D$10*1</f>
        <v>10</v>
      </c>
      <c r="M88" s="2">
        <f>VLOOKUP(J88,$B$15:$E$32,3,0)</f>
        <v>135</v>
      </c>
      <c r="N88" s="5">
        <f t="shared" ref="N88:N90" si="28">L88*M88</f>
        <v>1350</v>
      </c>
      <c r="O88" s="83" t="s">
        <v>277</v>
      </c>
    </row>
    <row r="89" spans="9:15" ht="18" x14ac:dyDescent="0.35">
      <c r="I89" s="2" t="s">
        <v>106</v>
      </c>
      <c r="J89" s="2" t="s">
        <v>106</v>
      </c>
      <c r="K89" s="2" t="s">
        <v>203</v>
      </c>
      <c r="L89" s="2">
        <f>$D$10*D69</f>
        <v>30</v>
      </c>
      <c r="M89" s="2">
        <f>VLOOKUP(J89,$B$15:$E$32,3,0)</f>
        <v>175</v>
      </c>
      <c r="N89" s="5">
        <f t="shared" si="28"/>
        <v>5250</v>
      </c>
      <c r="O89" s="84"/>
    </row>
    <row r="90" spans="9:15" ht="18" x14ac:dyDescent="0.35">
      <c r="I90" s="2" t="s">
        <v>219</v>
      </c>
      <c r="J90" s="2" t="s">
        <v>198</v>
      </c>
      <c r="K90" s="2" t="s">
        <v>203</v>
      </c>
      <c r="L90" s="2">
        <f>$D$10*2</f>
        <v>20</v>
      </c>
      <c r="M90" s="2">
        <f t="shared" ref="M90" si="29">VLOOKUP(J90,$B$4:$E$8,3,0)</f>
        <v>65</v>
      </c>
      <c r="N90" s="5">
        <f t="shared" si="28"/>
        <v>1300</v>
      </c>
      <c r="O90" s="85"/>
    </row>
    <row r="91" spans="9:15" ht="18" x14ac:dyDescent="0.35">
      <c r="I91" s="29" t="s">
        <v>124</v>
      </c>
      <c r="J91" s="2"/>
      <c r="K91" s="2"/>
      <c r="L91" s="2"/>
      <c r="M91" s="2"/>
      <c r="N91" s="9">
        <f>SUM(N88:N90)</f>
        <v>7900</v>
      </c>
      <c r="O91" s="2"/>
    </row>
    <row r="92" spans="9:15" ht="18" x14ac:dyDescent="0.35">
      <c r="I92" s="10"/>
      <c r="J92" s="10"/>
      <c r="K92" s="10"/>
      <c r="L92" s="10"/>
      <c r="M92" s="10"/>
      <c r="N92" s="11"/>
      <c r="O92" s="10"/>
    </row>
    <row r="93" spans="9:15" ht="18" x14ac:dyDescent="0.35">
      <c r="I93" s="2" t="s">
        <v>237</v>
      </c>
      <c r="J93" s="2" t="s">
        <v>237</v>
      </c>
      <c r="K93" s="2" t="s">
        <v>231</v>
      </c>
      <c r="L93" s="2">
        <f t="shared" ref="L93:L94" si="30">$D$10*1</f>
        <v>10</v>
      </c>
      <c r="M93" s="2">
        <f>VLOOKUP(J93,$B$15:$E$32,3,0)/10</f>
        <v>42</v>
      </c>
      <c r="N93" s="5">
        <f t="shared" ref="N93:N95" si="31">L93*M93</f>
        <v>420</v>
      </c>
      <c r="O93" s="83"/>
    </row>
    <row r="94" spans="9:15" ht="18" x14ac:dyDescent="0.35">
      <c r="I94" s="2" t="s">
        <v>278</v>
      </c>
      <c r="J94" s="2" t="s">
        <v>235</v>
      </c>
      <c r="K94" s="2" t="s">
        <v>203</v>
      </c>
      <c r="L94" s="2">
        <f t="shared" si="30"/>
        <v>10</v>
      </c>
      <c r="M94" s="2">
        <f>VLOOKUP(J94,$B$15:$E$32,3,0)</f>
        <v>300</v>
      </c>
      <c r="N94" s="5">
        <f t="shared" si="31"/>
        <v>3000</v>
      </c>
      <c r="O94" s="84"/>
    </row>
    <row r="95" spans="9:15" ht="18" x14ac:dyDescent="0.35">
      <c r="I95" s="2" t="s">
        <v>219</v>
      </c>
      <c r="J95" s="2" t="s">
        <v>198</v>
      </c>
      <c r="K95" s="2" t="s">
        <v>203</v>
      </c>
      <c r="L95" s="2">
        <f>$D$10*2</f>
        <v>20</v>
      </c>
      <c r="M95" s="2">
        <f t="shared" ref="M95" si="32">VLOOKUP(J95,$B$4:$E$8,3,0)</f>
        <v>65</v>
      </c>
      <c r="N95" s="5">
        <f t="shared" si="31"/>
        <v>1300</v>
      </c>
      <c r="O95" s="85"/>
    </row>
    <row r="96" spans="9:15" ht="18" x14ac:dyDescent="0.35">
      <c r="I96" s="29" t="s">
        <v>105</v>
      </c>
      <c r="J96" s="2"/>
      <c r="K96" s="2"/>
      <c r="L96" s="2"/>
      <c r="M96" s="2"/>
      <c r="N96" s="9">
        <f>SUM(N93:N95)</f>
        <v>4720</v>
      </c>
      <c r="O96" s="2"/>
    </row>
    <row r="97" spans="9:15" ht="18" x14ac:dyDescent="0.35">
      <c r="I97" s="10"/>
      <c r="J97" s="10"/>
      <c r="K97" s="10"/>
      <c r="L97" s="10"/>
      <c r="M97" s="10"/>
      <c r="N97" s="11"/>
      <c r="O97" s="10"/>
    </row>
    <row r="98" spans="9:15" ht="18" x14ac:dyDescent="0.35">
      <c r="I98" s="2" t="s">
        <v>227</v>
      </c>
      <c r="J98" s="2" t="s">
        <v>227</v>
      </c>
      <c r="K98" s="2" t="s">
        <v>203</v>
      </c>
      <c r="L98" s="2">
        <f t="shared" ref="L98" si="33">$D$10*1</f>
        <v>10</v>
      </c>
      <c r="M98" s="2">
        <f>VLOOKUP(J98,$B$15:$E$32,3,0)</f>
        <v>135</v>
      </c>
      <c r="N98" s="5">
        <f t="shared" ref="N98" si="34">L98*M98</f>
        <v>1350</v>
      </c>
      <c r="O98" s="2" t="s">
        <v>279</v>
      </c>
    </row>
    <row r="99" spans="9:15" ht="18" x14ac:dyDescent="0.35">
      <c r="I99" s="2" t="s">
        <v>215</v>
      </c>
      <c r="J99" s="2" t="s">
        <v>216</v>
      </c>
      <c r="K99" s="2" t="s">
        <v>203</v>
      </c>
      <c r="L99" s="2">
        <f>$D$10*1</f>
        <v>10</v>
      </c>
      <c r="M99" s="2">
        <f>VLOOKUP(J99,$B$15:$E$32,3,0)</f>
        <v>150</v>
      </c>
      <c r="N99" s="5">
        <f t="shared" ref="N99:N100" si="35">L99*M99</f>
        <v>1500</v>
      </c>
      <c r="O99" s="2"/>
    </row>
    <row r="100" spans="9:15" ht="18" x14ac:dyDescent="0.35">
      <c r="I100" s="2" t="s">
        <v>219</v>
      </c>
      <c r="J100" s="2" t="s">
        <v>198</v>
      </c>
      <c r="K100" s="2" t="s">
        <v>203</v>
      </c>
      <c r="L100" s="2">
        <f>$D$10*3</f>
        <v>30</v>
      </c>
      <c r="M100" s="2">
        <f t="shared" ref="M100" si="36">VLOOKUP(J100,$B$4:$E$8,3,0)</f>
        <v>65</v>
      </c>
      <c r="N100" s="5">
        <f t="shared" si="35"/>
        <v>1950</v>
      </c>
      <c r="O100" s="2" t="s">
        <v>280</v>
      </c>
    </row>
    <row r="101" spans="9:15" ht="18" x14ac:dyDescent="0.35">
      <c r="I101" s="8" t="s">
        <v>147</v>
      </c>
      <c r="J101" s="2"/>
      <c r="K101" s="2"/>
      <c r="L101" s="2"/>
      <c r="M101" s="2"/>
      <c r="N101" s="9">
        <f>SUM(N98:N100)</f>
        <v>4800</v>
      </c>
      <c r="O101" s="2"/>
    </row>
    <row r="102" spans="9:15" ht="18" x14ac:dyDescent="0.35">
      <c r="I102" s="10"/>
      <c r="J102" s="10"/>
      <c r="K102" s="10"/>
      <c r="L102" s="10"/>
      <c r="M102" s="10"/>
      <c r="N102" s="11"/>
      <c r="O102" s="10"/>
    </row>
  </sheetData>
  <sheetProtection algorithmName="SHA-512" hashValue="rNwus4WX2+u/lgyRfuLp7uSoau3tY72LsEOYAL2Ar/Y+XTowTcBTqBC6uC+ad6Lxsq2grD4riTcn+psoPZfJiQ==" saltValue="z39vCx4JWNMEkNxJOmE7FQ==" spinCount="100000" sheet="1" objects="1" scenarios="1"/>
  <mergeCells count="10">
    <mergeCell ref="B46:D46"/>
    <mergeCell ref="O88:O90"/>
    <mergeCell ref="B59:D59"/>
    <mergeCell ref="O93:O95"/>
    <mergeCell ref="B2:E2"/>
    <mergeCell ref="I2:O2"/>
    <mergeCell ref="C4:C8"/>
    <mergeCell ref="B13:E13"/>
    <mergeCell ref="B33:D33"/>
    <mergeCell ref="B76:C7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9678FCA6BF8C4F96071AD0C3DC7188" ma:contentTypeVersion="18" ma:contentTypeDescription="Create a new document." ma:contentTypeScope="" ma:versionID="5c9bb0623f45b4e2e3d2e30438d5c5ae">
  <xsd:schema xmlns:xsd="http://www.w3.org/2001/XMLSchema" xmlns:xs="http://www.w3.org/2001/XMLSchema" xmlns:p="http://schemas.microsoft.com/office/2006/metadata/properties" xmlns:ns2="5f09b715-9c8c-4019-a5ba-ddee52b25758" xmlns:ns3="67bc3c54-1dd9-4f66-a456-139d6b3611c9" targetNamespace="http://schemas.microsoft.com/office/2006/metadata/properties" ma:root="true" ma:fieldsID="2615a678c7a45ad5792ff45b61a4a6f2" ns2:_="" ns3:_="">
    <xsd:import namespace="5f09b715-9c8c-4019-a5ba-ddee52b25758"/>
    <xsd:import namespace="67bc3c54-1dd9-4f66-a456-139d6b3611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DateTime"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9b715-9c8c-4019-a5ba-ddee52b257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DateTime" ma:index="20" nillable="true" ma:displayName="Date Time" ma:format="DateOnly" ma:internalName="DateTime">
      <xsd:simpleType>
        <xsd:restriction base="dms:DateTime"/>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444c108-d34f-4c01-85d9-27842d74072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bc3c54-1dd9-4f66-a456-139d6b3611c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79e8256c-3794-40a0-af7b-d6cd58b2b811}" ma:internalName="TaxCatchAll" ma:showField="CatchAllData" ma:web="67bc3c54-1dd9-4f66-a456-139d6b3611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84EB00-C744-4F93-B36D-866F4F33B0BF}">
  <ds:schemaRefs>
    <ds:schemaRef ds:uri="http://schemas.microsoft.com/sharepoint/v3/contenttype/forms"/>
  </ds:schemaRefs>
</ds:datastoreItem>
</file>

<file path=customXml/itemProps2.xml><?xml version="1.0" encoding="utf-8"?>
<ds:datastoreItem xmlns:ds="http://schemas.openxmlformats.org/officeDocument/2006/customXml" ds:itemID="{E6BFF0E4-DD21-4481-A67D-4888CB99C0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09b715-9c8c-4019-a5ba-ddee52b25758"/>
    <ds:schemaRef ds:uri="67bc3c54-1dd9-4f66-a456-139d6b3611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HOW TO USE</vt:lpstr>
      <vt:lpstr>CALCULATOR</vt:lpstr>
      <vt:lpstr>ASSUMPTIONS 1</vt:lpstr>
      <vt:lpstr>ASSUMPTIONS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Oz Yilmaz</dc:creator>
  <cp:keywords/>
  <dc:description/>
  <cp:lastModifiedBy>Matt Riley</cp:lastModifiedBy>
  <cp:revision/>
  <dcterms:created xsi:type="dcterms:W3CDTF">2023-04-05T23:12:32Z</dcterms:created>
  <dcterms:modified xsi:type="dcterms:W3CDTF">2023-10-31T01:23:19Z</dcterms:modified>
  <cp:category/>
  <cp:contentStatus/>
</cp:coreProperties>
</file>